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fdOQcZ80h9KGKy7lihD8rnJ6+wnS2/CHlQcAyTzVxIjETpJM6VoKZdpXiw2VWfbcORFuVlUm9hnPI4lPiYu9mw==" saltValue="yWMDw2pO0tK89D0vrqimlg==" spinCount="100000"/>
  <workbookPr filterPrivacy="1" codeName="ThisWorkbook" defaultThemeVersion="124226"/>
  <xr:revisionPtr revIDLastSave="0" documentId="8_{2951FE92-6728-44A3-9EA7-43CBE5C88802}"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43" r:id="rId22"/>
    <sheet name="WS Q Cap Structure" sheetId="34" r:id="rId23"/>
    <sheet name="WS R Interest" sheetId="35" r:id="rId24"/>
    <sheet name="WS R Schedule 1A" sheetId="41" r:id="rId25"/>
  </sheets>
  <definedNames>
    <definedName name="__NPh1">#REF!</definedName>
    <definedName name="_NPh1" localSheetId="6">#REF!</definedName>
    <definedName name="_NPh1">#REF!</definedName>
    <definedName name="ActExcessAmt" localSheetId="21">#REF!</definedName>
    <definedName name="ActExcessAmt" localSheetId="6">#REF!</definedName>
    <definedName name="ActExcessAmt">#REF!</definedName>
    <definedName name="ActGrTaxAmt" localSheetId="21">#REF!</definedName>
    <definedName name="ActGrTaxAmt" localSheetId="6">#REF!</definedName>
    <definedName name="ActGrTaxAmt">#REF!</definedName>
    <definedName name="ActKWHExcess" localSheetId="21">#REF!</definedName>
    <definedName name="ActKWHExcess">#REF!</definedName>
    <definedName name="ActKWHNotUsed" localSheetId="21">#REF!</definedName>
    <definedName name="ActKWHNotUsed">#REF!</definedName>
    <definedName name="ActKWHRes" localSheetId="21">#REF!</definedName>
    <definedName name="ActKWHRes">#REF!</definedName>
    <definedName name="ActKWHSubTot" localSheetId="21">#REF!</definedName>
    <definedName name="ActKWHSubTot">#REF!</definedName>
    <definedName name="ActKWHTot" localSheetId="21">#REF!</definedName>
    <definedName name="ActKWHTot">#REF!</definedName>
    <definedName name="ActNotUsedAmt" localSheetId="21">#REF!</definedName>
    <definedName name="ActNotUsedAmt">#REF!</definedName>
    <definedName name="ActResAmt" localSheetId="21">#REF!</definedName>
    <definedName name="ActResAmt">#REF!</definedName>
    <definedName name="ActSubTotAmt" localSheetId="21">#REF!</definedName>
    <definedName name="ActSubTotAmt">#REF!</definedName>
    <definedName name="ActTotAmt" localSheetId="21">#REF!</definedName>
    <definedName name="ActTotAmt">#REF!</definedName>
    <definedName name="AdminChg" localSheetId="21">#REF!</definedName>
    <definedName name="AdminChg">#REF!</definedName>
    <definedName name="AEP" localSheetId="21">#REF!</definedName>
    <definedName name="AEP">#REF!</definedName>
    <definedName name="allocator" localSheetId="21">#REF!</definedName>
    <definedName name="allocator">#REF!</definedName>
    <definedName name="allocators" localSheetId="21">#REF!</definedName>
    <definedName name="allocators">#REF!</definedName>
    <definedName name="allocatorsSWP" localSheetId="21">#REF!</definedName>
    <definedName name="allocatorsSWP">#REF!</definedName>
    <definedName name="allocatorSWP1">#REF!</definedName>
    <definedName name="APCO" localSheetId="21">#REF!</definedName>
    <definedName name="APCO" localSheetId="6">#REF!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1">#REF!</definedName>
    <definedName name="APCo_Hist_Allocators" localSheetId="24">TCOS!#REF!</definedName>
    <definedName name="APCo_Hist_Allocators" localSheetId="6">#REF!</definedName>
    <definedName name="APCo_Hist_Allocators">TCOS!#REF!</definedName>
    <definedName name="APCo_Proj_Allocators" localSheetId="13">#REF!</definedName>
    <definedName name="APCo_Proj_Allocators" localSheetId="21">#REF!</definedName>
    <definedName name="APCo_Proj_Allocators" localSheetId="6">#REF!</definedName>
    <definedName name="APCo_Proj_Allocators">#REF!</definedName>
    <definedName name="APCo_TU_Allocators" localSheetId="13">#REF!</definedName>
    <definedName name="APCo_TU_Allocators" localSheetId="21">#REF!</definedName>
    <definedName name="APCo_TU_Allocators">#REF!</definedName>
    <definedName name="AVRGPWRFCTR" localSheetId="21">#REF!</definedName>
    <definedName name="AVRGPWRFCTR">#REF!</definedName>
    <definedName name="B1HRSCRMO" localSheetId="21">#REF!</definedName>
    <definedName name="B1HRSCRMO">#REF!</definedName>
    <definedName name="B2HRSCRMO" localSheetId="21">#REF!</definedName>
    <definedName name="B2HRSCRMO">#REF!</definedName>
    <definedName name="BASERATECHG" localSheetId="21">#REF!</definedName>
    <definedName name="BASERATECHG">#REF!</definedName>
    <definedName name="BILLKWH" localSheetId="21">#REF!</definedName>
    <definedName name="BILLKWH">#REF!</definedName>
    <definedName name="BIRPCCHG" localSheetId="21">#REF!</definedName>
    <definedName name="BIRPCCHG">#REF!</definedName>
    <definedName name="BIRPDCHG1" localSheetId="21">#REF!</definedName>
    <definedName name="BIRPDCHG1">#REF!</definedName>
    <definedName name="BIRPDCHG2" localSheetId="21">#REF!</definedName>
    <definedName name="BIRPDCHG2">#REF!</definedName>
    <definedName name="BIRPECHG1" localSheetId="21">#REF!</definedName>
    <definedName name="BIRPECHG1">#REF!</definedName>
    <definedName name="BIRPECHGB1" localSheetId="21">#REF!</definedName>
    <definedName name="BIRPECHGB1">#REF!</definedName>
    <definedName name="BIRPECHGB2" localSheetId="21">#REF!</definedName>
    <definedName name="BIRPECHGB2">#REF!</definedName>
    <definedName name="BIRPECHGB3" localSheetId="21">#REF!</definedName>
    <definedName name="BIRPECHGB3">#REF!</definedName>
    <definedName name="BIRPECHGW" localSheetId="21">#REF!</definedName>
    <definedName name="BIRPECHGW">#REF!</definedName>
    <definedName name="BIRPKWH1" localSheetId="21">#REF!</definedName>
    <definedName name="BIRPKWH1">#REF!</definedName>
    <definedName name="BIRPKWHB1" localSheetId="21">#REF!</definedName>
    <definedName name="BIRPKWHB1">#REF!</definedName>
    <definedName name="BIRPKWHB2" localSheetId="21">#REF!</definedName>
    <definedName name="BIRPKWHB2">#REF!</definedName>
    <definedName name="BIRPKWHB3" localSheetId="21">#REF!</definedName>
    <definedName name="BIRPKWHB3">#REF!</definedName>
    <definedName name="BIRPKWHWH" localSheetId="21">#REF!</definedName>
    <definedName name="BIRPKWHWH">#REF!</definedName>
    <definedName name="BIRPMECHG1" localSheetId="21">#REF!</definedName>
    <definedName name="BIRPMECHG1">#REF!</definedName>
    <definedName name="BIRPOFKWH" localSheetId="21">#REF!</definedName>
    <definedName name="BIRPOFKWH">#REF!</definedName>
    <definedName name="BIRPOPKWH" localSheetId="21">#REF!</definedName>
    <definedName name="BIRPOPKWH">#REF!</definedName>
    <definedName name="BIRPP1EC" localSheetId="21">#REF!</definedName>
    <definedName name="BIRPP1EC">#REF!</definedName>
    <definedName name="BIRPP2EC" localSheetId="21">#REF!</definedName>
    <definedName name="BIRPP2EC">#REF!</definedName>
    <definedName name="BIRPP3EC" localSheetId="21">#REF!</definedName>
    <definedName name="BIRPP3EC">#REF!</definedName>
    <definedName name="BIRPP4EC" localSheetId="21">#REF!</definedName>
    <definedName name="BIRPP4EC">#REF!</definedName>
    <definedName name="BIRPP5EC" localSheetId="21">#REF!</definedName>
    <definedName name="BIRPP5EC">#REF!</definedName>
    <definedName name="BIRPPDMDCHG" localSheetId="21">#REF!</definedName>
    <definedName name="BIRPPDMDCHG">#REF!</definedName>
    <definedName name="BIRPRCHG" localSheetId="21">#REF!</definedName>
    <definedName name="BIRPRCHG">#REF!</definedName>
    <definedName name="BIRPXKVA" localSheetId="21">#REF!</definedName>
    <definedName name="BIRPXKVA">#REF!</definedName>
    <definedName name="BIRPXKVAPCT" localSheetId="21">#REF!</definedName>
    <definedName name="BIRPXKVAPCT">#REF!</definedName>
    <definedName name="BIRPXOFKW" localSheetId="21">#REF!</definedName>
    <definedName name="BIRPXOFKW">#REF!</definedName>
    <definedName name="BKUPKWH" localSheetId="21">#REF!</definedName>
    <definedName name="BKUPKWH">#REF!</definedName>
    <definedName name="BLDAMNT" localSheetId="21">#REF!</definedName>
    <definedName name="BLDAMNT">#REF!</definedName>
    <definedName name="BLDDMND" localSheetId="21">#REF!</definedName>
    <definedName name="BLDDMND">#REF!</definedName>
    <definedName name="BLDKWH" localSheetId="21">#REF!</definedName>
    <definedName name="BLDKWH">#REF!</definedName>
    <definedName name="BLDOPDMND" localSheetId="21">#REF!</definedName>
    <definedName name="BLDOPDMND">#REF!</definedName>
    <definedName name="BLNGKWB4EDR" localSheetId="21">#REF!</definedName>
    <definedName name="BLNGKWB4EDR">#REF!</definedName>
    <definedName name="BLNGKWH" localSheetId="21">#REF!</definedName>
    <definedName name="BLNGKWH">#REF!</definedName>
    <definedName name="BLNGKWHTTL" localSheetId="21">#REF!</definedName>
    <definedName name="BLNGKWHTTL">#REF!</definedName>
    <definedName name="BndBlkKwh1" localSheetId="21">#REF!</definedName>
    <definedName name="BndBlkKwh1">#REF!</definedName>
    <definedName name="BndBlkKwh2" localSheetId="21">#REF!</definedName>
    <definedName name="BndBlkKwh2">#REF!</definedName>
    <definedName name="BndBlkKwh3" localSheetId="21">#REF!</definedName>
    <definedName name="BndBlkKwh3">#REF!</definedName>
    <definedName name="BndBlkKwhChg1" localSheetId="21">#REF!</definedName>
    <definedName name="BndBlkKwhChg1">#REF!</definedName>
    <definedName name="BndBlkKwhChg2" localSheetId="21">#REF!</definedName>
    <definedName name="BndBlkKwhChg2">#REF!</definedName>
    <definedName name="BndBlkKwhChg3" localSheetId="21">#REF!</definedName>
    <definedName name="BndBlkKwhChg3">#REF!</definedName>
    <definedName name="BndBlkKwhChgT" localSheetId="21">#REF!</definedName>
    <definedName name="BndBlkKwhChgT">#REF!</definedName>
    <definedName name="BndBlkKwhChgW" localSheetId="21">#REF!</definedName>
    <definedName name="BndBlkKwhChgW">#REF!</definedName>
    <definedName name="BndBlkKwhT" localSheetId="21">#REF!</definedName>
    <definedName name="BndBlkKwhT">#REF!</definedName>
    <definedName name="BndBlkKwhW" localSheetId="21">#REF!</definedName>
    <definedName name="BndBlkKwhW">#REF!</definedName>
    <definedName name="BndCustChg" localSheetId="21">#REF!</definedName>
    <definedName name="BndCustChg">#REF!</definedName>
    <definedName name="BndDmdChg1" localSheetId="21">#REF!</definedName>
    <definedName name="BndDmdChg1">#REF!</definedName>
    <definedName name="BndDmdChg2" localSheetId="21">#REF!</definedName>
    <definedName name="BndDmdChg2">#REF!</definedName>
    <definedName name="BndExcsKvaPct" localSheetId="21">#REF!</definedName>
    <definedName name="BndExcsKvaPct">#REF!</definedName>
    <definedName name="BndMEChg" localSheetId="21">#REF!</definedName>
    <definedName name="BndMEChg">#REF!</definedName>
    <definedName name="BndOffPkKwh" localSheetId="21">#REF!</definedName>
    <definedName name="BndOffPkKwh">#REF!</definedName>
    <definedName name="BndOnPkKwh" localSheetId="21">#REF!</definedName>
    <definedName name="BndOnPkKwh">#REF!</definedName>
    <definedName name="BndPL1Chg" localSheetId="21">#REF!</definedName>
    <definedName name="BndPL1Chg">#REF!</definedName>
    <definedName name="BndPL2Chg" localSheetId="21">#REF!</definedName>
    <definedName name="BndPL2Chg">#REF!</definedName>
    <definedName name="BndPL3Chg" localSheetId="21">#REF!</definedName>
    <definedName name="BndPL3Chg">#REF!</definedName>
    <definedName name="BndPL4Chg" localSheetId="21">#REF!</definedName>
    <definedName name="BndPL4Chg">#REF!</definedName>
    <definedName name="BndPL5Chg" localSheetId="21">#REF!</definedName>
    <definedName name="BndPL5Chg">#REF!</definedName>
    <definedName name="BndReactiveChg" localSheetId="21">#REF!</definedName>
    <definedName name="BndReactiveChg">#REF!</definedName>
    <definedName name="BndXOfpKvaChg" localSheetId="21">#REF!</definedName>
    <definedName name="BndXOfpKvaChg">#REF!</definedName>
    <definedName name="BndXOfpKwChg" localSheetId="21">#REF!</definedName>
    <definedName name="BndXOfpKwChg">#REF!</definedName>
    <definedName name="BTTrueUp" localSheetId="21">#REF!</definedName>
    <definedName name="BTTrueUp">#REF!</definedName>
    <definedName name="BUNCCHG" localSheetId="21">#REF!</definedName>
    <definedName name="BUNCCHG">#REF!</definedName>
    <definedName name="BUNDCHG1" localSheetId="21">#REF!</definedName>
    <definedName name="BUNDCHG1">#REF!</definedName>
    <definedName name="BUNDCHG2" localSheetId="21">#REF!</definedName>
    <definedName name="BUNDCHG2">#REF!</definedName>
    <definedName name="BUNECHG1" localSheetId="21">#REF!</definedName>
    <definedName name="BUNECHG1">#REF!</definedName>
    <definedName name="BUNECHGB1" localSheetId="21">#REF!</definedName>
    <definedName name="BUNECHGB1">#REF!</definedName>
    <definedName name="BUNECHGB2" localSheetId="21">#REF!</definedName>
    <definedName name="BUNECHGB2">#REF!</definedName>
    <definedName name="BUNECHGB3" localSheetId="21">#REF!</definedName>
    <definedName name="BUNECHGB3">#REF!</definedName>
    <definedName name="BUNECHGW" localSheetId="21">#REF!</definedName>
    <definedName name="BUNECHGW">#REF!</definedName>
    <definedName name="BUNKWH1" localSheetId="21">#REF!</definedName>
    <definedName name="BUNKWH1">#REF!</definedName>
    <definedName name="BUNKWHB1" localSheetId="21">#REF!</definedName>
    <definedName name="BUNKWHB1">#REF!</definedName>
    <definedName name="BUNKWHB2" localSheetId="21">#REF!</definedName>
    <definedName name="BUNKWHB2">#REF!</definedName>
    <definedName name="BUNKWHB3" localSheetId="21">#REF!</definedName>
    <definedName name="BUNKWHB3">#REF!</definedName>
    <definedName name="BUNKWHWH" localSheetId="21">#REF!</definedName>
    <definedName name="BUNKWHWH">#REF!</definedName>
    <definedName name="BUNMECHG1" localSheetId="21">#REF!</definedName>
    <definedName name="BUNMECHG1">#REF!</definedName>
    <definedName name="BUNOFKWH" localSheetId="21">#REF!</definedName>
    <definedName name="BUNOFKWH">#REF!</definedName>
    <definedName name="BUNOPKWH" localSheetId="21">#REF!</definedName>
    <definedName name="BUNOPKWH">#REF!</definedName>
    <definedName name="BUNP1EC" localSheetId="21">#REF!</definedName>
    <definedName name="BUNP1EC">#REF!</definedName>
    <definedName name="BUNP2EC" localSheetId="21">#REF!</definedName>
    <definedName name="BUNP2EC">#REF!</definedName>
    <definedName name="BUNP3EC" localSheetId="21">#REF!</definedName>
    <definedName name="BUNP3EC">#REF!</definedName>
    <definedName name="BUNP4EC" localSheetId="21">#REF!</definedName>
    <definedName name="BUNP4EC">#REF!</definedName>
    <definedName name="BUNP5EC" localSheetId="21">#REF!</definedName>
    <definedName name="BUNP5EC">#REF!</definedName>
    <definedName name="BUNPDMDCHG" localSheetId="21">#REF!</definedName>
    <definedName name="BUNPDMDCHG">#REF!</definedName>
    <definedName name="BUNRCHG" localSheetId="21">#REF!</definedName>
    <definedName name="BUNRCHG">#REF!</definedName>
    <definedName name="BUNXKVA" localSheetId="21">#REF!</definedName>
    <definedName name="BUNXKVA">#REF!</definedName>
    <definedName name="BUNXKVAPCT" localSheetId="21">#REF!</definedName>
    <definedName name="BUNXKVAPCT">#REF!</definedName>
    <definedName name="BUNXOFKW" localSheetId="21">#REF!</definedName>
    <definedName name="BUNXOFKW">#REF!</definedName>
    <definedName name="CALCPFCC" localSheetId="21">#REF!</definedName>
    <definedName name="CALCPFCC">#REF!</definedName>
    <definedName name="CAPDEFA" localSheetId="21">#REF!</definedName>
    <definedName name="CAPDEFA">#REF!</definedName>
    <definedName name="CBLKWH" localSheetId="21">#REF!</definedName>
    <definedName name="CBLKWH">#REF!</definedName>
    <definedName name="City" localSheetId="21">#REF!</definedName>
    <definedName name="City">#REF!</definedName>
    <definedName name="CNTRCTDMND" localSheetId="21">#REF!</definedName>
    <definedName name="CNTRCTDMND">#REF!</definedName>
    <definedName name="CoPhoneLine" localSheetId="21">#REF!</definedName>
    <definedName name="CoPhoneLine">#REF!</definedName>
    <definedName name="CRMOINTRPTHRS" localSheetId="21">#REF!</definedName>
    <definedName name="CRMOINTRPTHRS">#REF!</definedName>
    <definedName name="CRNTMOBTKWH" localSheetId="21">#REF!</definedName>
    <definedName name="CRNTMOBTKWH">#REF!</definedName>
    <definedName name="CRNTMOFPKHRS" localSheetId="21">#REF!</definedName>
    <definedName name="CRNTMOFPKHRS">#REF!</definedName>
    <definedName name="CRNTMONPKHRS" localSheetId="21">#REF!</definedName>
    <definedName name="CRNTMONPKHRS">#REF!</definedName>
    <definedName name="CRTLBLONPKHRS" localSheetId="21">#REF!</definedName>
    <definedName name="CRTLBLONPKHRS">#REF!</definedName>
    <definedName name="CRTLBLONPKKWH" localSheetId="21">#REF!</definedName>
    <definedName name="CRTLBLONPKKWH">#REF!</definedName>
    <definedName name="CSTMRCHG" localSheetId="21">#REF!</definedName>
    <definedName name="CSTMRCHG">#REF!</definedName>
    <definedName name="CurMoAddr1" localSheetId="21">#REF!</definedName>
    <definedName name="CurMoAddr1">#REF!</definedName>
    <definedName name="CurMoAddr2" localSheetId="21">#REF!</definedName>
    <definedName name="CurMoAddr2">#REF!</definedName>
    <definedName name="CurMoBTDetail" localSheetId="21">#REF!</definedName>
    <definedName name="CurMoBTDetail">#REF!</definedName>
    <definedName name="CurMoBuyThrgh_Sheet" localSheetId="21">#REF!</definedName>
    <definedName name="CurMoBuyThrgh_Sheet">#REF!</definedName>
    <definedName name="CurMoCityStZip" localSheetId="21">#REF!</definedName>
    <definedName name="CurMoCityStZip">#REF!</definedName>
    <definedName name="CurMoCustName" localSheetId="21">#REF!</definedName>
    <definedName name="CurMoCustName">#REF!</definedName>
    <definedName name="CurMoExcessAmt" localSheetId="21">#REF!</definedName>
    <definedName name="CurMoExcessAmt">#REF!</definedName>
    <definedName name="CurMoGrTaxAmt" localSheetId="21">#REF!</definedName>
    <definedName name="CurMoGrTaxAmt">#REF!</definedName>
    <definedName name="CurMoKWHExcess" localSheetId="21">#REF!</definedName>
    <definedName name="CurMoKWHExcess">#REF!</definedName>
    <definedName name="CurMoKWHNotUsed" localSheetId="21">#REF!</definedName>
    <definedName name="CurMoKWHNotUsed">#REF!</definedName>
    <definedName name="CurMoKWHRes" localSheetId="21">#REF!</definedName>
    <definedName name="CurMoKWHRes">#REF!</definedName>
    <definedName name="CurMoKWHSubTot" localSheetId="21">#REF!</definedName>
    <definedName name="CurMoKWHSubTot">#REF!</definedName>
    <definedName name="CurMoKWHTot" localSheetId="21">#REF!</definedName>
    <definedName name="CurMoKWHTot">#REF!</definedName>
    <definedName name="CurMoMtrMult" localSheetId="21">#REF!</definedName>
    <definedName name="CurMoMtrMult">#REF!</definedName>
    <definedName name="CurMoNotUsedAmt" localSheetId="21">#REF!</definedName>
    <definedName name="CurMoNotUsedAmt">#REF!</definedName>
    <definedName name="CurMoResAmt" localSheetId="21">#REF!</definedName>
    <definedName name="CurMoResAmt">#REF!</definedName>
    <definedName name="CurMoSubTotAmt" localSheetId="21">#REF!</definedName>
    <definedName name="CurMoSubTotAmt">#REF!</definedName>
    <definedName name="CurMoTotAmt" localSheetId="21">#REF!</definedName>
    <definedName name="CurMoTotAmt">#REF!</definedName>
    <definedName name="CurrYear" localSheetId="21">#REF!</definedName>
    <definedName name="CurrYear">#REF!</definedName>
    <definedName name="CustAddr1" localSheetId="21">#REF!</definedName>
    <definedName name="CustAddr1">#REF!</definedName>
    <definedName name="CustAddr2" localSheetId="21">#REF!</definedName>
    <definedName name="CustAddr2">#REF!</definedName>
    <definedName name="CustCityStZip" localSheetId="21">#REF!</definedName>
    <definedName name="CustCityStZip">#REF!</definedName>
    <definedName name="CustName2" localSheetId="21">#REF!</definedName>
    <definedName name="CustName2">#REF!</definedName>
    <definedName name="CustTable" localSheetId="21">#REF!</definedName>
    <definedName name="CustTable">#REF!</definedName>
    <definedName name="DetailTotCbl" localSheetId="21">#REF!</definedName>
    <definedName name="DetailTotCbl">#REF!</definedName>
    <definedName name="DetailTotChg" localSheetId="21">#REF!</definedName>
    <definedName name="DetailTotChg">#REF!</definedName>
    <definedName name="DetailTotKw" localSheetId="21">#REF!</definedName>
    <definedName name="DetailTotKw">#REF!</definedName>
    <definedName name="DetailTotMargin" localSheetId="21">#REF!</definedName>
    <definedName name="DetailTotMargin">#REF!</definedName>
    <definedName name="DIRPCCHG" localSheetId="21">#REF!</definedName>
    <definedName name="DIRPCCHG">#REF!</definedName>
    <definedName name="DIRPDCHG1" localSheetId="21">#REF!</definedName>
    <definedName name="DIRPDCHG1">#REF!</definedName>
    <definedName name="DIRPDCHG2" localSheetId="21">#REF!</definedName>
    <definedName name="DIRPDCHG2">#REF!</definedName>
    <definedName name="DIRPECHG1" localSheetId="21">#REF!</definedName>
    <definedName name="DIRPECHG1">#REF!</definedName>
    <definedName name="DIRPECHGB1" localSheetId="21">#REF!</definedName>
    <definedName name="DIRPECHGB1">#REF!</definedName>
    <definedName name="DIRPECHGB2" localSheetId="21">#REF!</definedName>
    <definedName name="DIRPECHGB2">#REF!</definedName>
    <definedName name="DIRPECHGB3" localSheetId="21">#REF!</definedName>
    <definedName name="DIRPECHGB3">#REF!</definedName>
    <definedName name="DIRPMECHG1" localSheetId="21">#REF!</definedName>
    <definedName name="DIRPMECHG1">#REF!</definedName>
    <definedName name="DIRPMINDC" localSheetId="21">#REF!</definedName>
    <definedName name="DIRPMINDC">#REF!</definedName>
    <definedName name="DIRPMINEC" localSheetId="21">#REF!</definedName>
    <definedName name="DIRPMINEC">#REF!</definedName>
    <definedName name="DIRPOFKVA" localSheetId="21">#REF!</definedName>
    <definedName name="DIRPOFKVA">#REF!</definedName>
    <definedName name="DIRPOFKW" localSheetId="21">#REF!</definedName>
    <definedName name="DIRPOFKW">#REF!</definedName>
    <definedName name="DIRPOFKWH" localSheetId="21">#REF!</definedName>
    <definedName name="DIRPOFKWH">#REF!</definedName>
    <definedName name="DIRPOPKWH" localSheetId="21">#REF!</definedName>
    <definedName name="DIRPOPKWH">#REF!</definedName>
    <definedName name="DIRPP1EC" localSheetId="21">#REF!</definedName>
    <definedName name="DIRPP1EC">#REF!</definedName>
    <definedName name="DIRPP2EC" localSheetId="21">#REF!</definedName>
    <definedName name="DIRPP2EC">#REF!</definedName>
    <definedName name="DIRPP3EC" localSheetId="21">#REF!</definedName>
    <definedName name="DIRPP3EC">#REF!</definedName>
    <definedName name="DIRPP4EC" localSheetId="21">#REF!</definedName>
    <definedName name="DIRPP4EC">#REF!</definedName>
    <definedName name="DIRPP5EC" localSheetId="21">#REF!</definedName>
    <definedName name="DIRPP5EC">#REF!</definedName>
    <definedName name="DIRPRCHG" localSheetId="21">#REF!</definedName>
    <definedName name="DIRPRCHG">#REF!</definedName>
    <definedName name="DisBlkKwhChg1" localSheetId="21">#REF!</definedName>
    <definedName name="DisBlkKwhChg1">#REF!</definedName>
    <definedName name="DisBlkKwhChg2" localSheetId="21">#REF!</definedName>
    <definedName name="DisBlkKwhChg2">#REF!</definedName>
    <definedName name="DisBlkKwhChg3" localSheetId="21">#REF!</definedName>
    <definedName name="DisBlkKwhChg3">#REF!</definedName>
    <definedName name="DisBlkKwhChgT" localSheetId="21">#REF!</definedName>
    <definedName name="DisBlkKwhChgT">#REF!</definedName>
    <definedName name="DisCustChg" localSheetId="21">#REF!</definedName>
    <definedName name="DisCustChg">#REF!</definedName>
    <definedName name="DisDmdChg1" localSheetId="21">#REF!</definedName>
    <definedName name="DisDmdChg1">#REF!</definedName>
    <definedName name="DisDmdChg2" localSheetId="21">#REF!</definedName>
    <definedName name="DisDmdChg2">#REF!</definedName>
    <definedName name="DisMEChg" localSheetId="21">#REF!</definedName>
    <definedName name="DisMEChg">#REF!</definedName>
    <definedName name="DisMinDChg" localSheetId="21">#REF!</definedName>
    <definedName name="DisMinDChg">#REF!</definedName>
    <definedName name="DisMinEChg" localSheetId="21">#REF!</definedName>
    <definedName name="DisMinEChg">#REF!</definedName>
    <definedName name="DisOffPkKwh" localSheetId="21">#REF!</definedName>
    <definedName name="DisOffPkKwh">#REF!</definedName>
    <definedName name="DisOnPkKwh" localSheetId="21">#REF!</definedName>
    <definedName name="DisOnPkKwh">#REF!</definedName>
    <definedName name="DisPL1Chg" localSheetId="21">#REF!</definedName>
    <definedName name="DisPL1Chg">#REF!</definedName>
    <definedName name="DisPL2Chg" localSheetId="21">#REF!</definedName>
    <definedName name="DisPL2Chg">#REF!</definedName>
    <definedName name="DisPL3Chg" localSheetId="21">#REF!</definedName>
    <definedName name="DisPL3Chg">#REF!</definedName>
    <definedName name="DisPL4Chg" localSheetId="21">#REF!</definedName>
    <definedName name="DisPL4Chg">#REF!</definedName>
    <definedName name="DisPL5Chg" localSheetId="21">#REF!</definedName>
    <definedName name="DisPL5Chg">#REF!</definedName>
    <definedName name="DisReactiveChg" localSheetId="21">#REF!</definedName>
    <definedName name="DisReactiveChg">#REF!</definedName>
    <definedName name="DisXOfpKvaChg" localSheetId="21">#REF!</definedName>
    <definedName name="DisXOfpKvaChg">#REF!</definedName>
    <definedName name="DisXOfpKwChg" localSheetId="21">#REF!</definedName>
    <definedName name="DisXOfpKwChg">#REF!</definedName>
    <definedName name="DSTCCHG" localSheetId="21">#REF!</definedName>
    <definedName name="DSTCCHG">#REF!</definedName>
    <definedName name="DSTDCHG1" localSheetId="21">#REF!</definedName>
    <definedName name="DSTDCHG1">#REF!</definedName>
    <definedName name="DSTDCHG2" localSheetId="21">#REF!</definedName>
    <definedName name="DSTDCHG2">#REF!</definedName>
    <definedName name="DSTECHG1" localSheetId="21">#REF!</definedName>
    <definedName name="DSTECHG1">#REF!</definedName>
    <definedName name="DSTECHGB1" localSheetId="21">#REF!</definedName>
    <definedName name="DSTECHGB1">#REF!</definedName>
    <definedName name="DSTECHGB2" localSheetId="21">#REF!</definedName>
    <definedName name="DSTECHGB2">#REF!</definedName>
    <definedName name="DSTECHGB3" localSheetId="21">#REF!</definedName>
    <definedName name="DSTECHGB3">#REF!</definedName>
    <definedName name="DSTMECHG1" localSheetId="21">#REF!</definedName>
    <definedName name="DSTMECHG1">#REF!</definedName>
    <definedName name="DSTMINDC" localSheetId="21">#REF!</definedName>
    <definedName name="DSTMINDC">#REF!</definedName>
    <definedName name="DSTMINEC" localSheetId="21">#REF!</definedName>
    <definedName name="DSTMINEC">#REF!</definedName>
    <definedName name="DSTOFKWH" localSheetId="21">#REF!</definedName>
    <definedName name="DSTOFKWH">#REF!</definedName>
    <definedName name="DSTOPKWH" localSheetId="21">#REF!</definedName>
    <definedName name="DSTOPKWH">#REF!</definedName>
    <definedName name="DSTP1EC" localSheetId="21">#REF!</definedName>
    <definedName name="DSTP1EC">#REF!</definedName>
    <definedName name="DSTP2EC" localSheetId="21">#REF!</definedName>
    <definedName name="DSTP2EC">#REF!</definedName>
    <definedName name="DSTP3EC" localSheetId="21">#REF!</definedName>
    <definedName name="DSTP3EC">#REF!</definedName>
    <definedName name="DSTP4EC" localSheetId="21">#REF!</definedName>
    <definedName name="DSTP4EC">#REF!</definedName>
    <definedName name="DSTP5EC" localSheetId="21">#REF!</definedName>
    <definedName name="DSTP5EC">#REF!</definedName>
    <definedName name="DSTRCHG" localSheetId="21">#REF!</definedName>
    <definedName name="DSTRCHG">#REF!</definedName>
    <definedName name="DSTXOFKVA" localSheetId="21">#REF!</definedName>
    <definedName name="DSTXOFKVA">#REF!</definedName>
    <definedName name="DSTXOFKW" localSheetId="21">#REF!</definedName>
    <definedName name="DSTXOFKW">#REF!</definedName>
    <definedName name="EDRBASE" localSheetId="21">#REF!</definedName>
    <definedName name="EDRBASE">#REF!</definedName>
    <definedName name="EDRDATE" localSheetId="21">#REF!</definedName>
    <definedName name="EDRDATE">#REF!</definedName>
    <definedName name="EDRDSCNT" localSheetId="21">#REF!</definedName>
    <definedName name="EDRDSCNT">#REF!</definedName>
    <definedName name="EDRLVLPCT" localSheetId="21">#REF!</definedName>
    <definedName name="EDRLVLPCT">#REF!</definedName>
    <definedName name="EDRTYPE" localSheetId="21">#REF!</definedName>
    <definedName name="EDRTYPE">#REF!</definedName>
    <definedName name="EffDate" localSheetId="21">#REF!</definedName>
    <definedName name="EffDate">#REF!</definedName>
    <definedName name="ELKMCGN1" localSheetId="21">#REF!</definedName>
    <definedName name="ELKMCGN1">#REF!</definedName>
    <definedName name="ELKMCGN2" localSheetId="21">#REF!</definedName>
    <definedName name="ELKMCGN2">#REF!</definedName>
    <definedName name="ENDDTM" localSheetId="21">#REF!</definedName>
    <definedName name="ENDDTM">#REF!</definedName>
    <definedName name="ENDTIME" localSheetId="21">#REF!</definedName>
    <definedName name="ENDTIME">#REF!</definedName>
    <definedName name="EstExcessAmt" localSheetId="21">#REF!</definedName>
    <definedName name="EstExcessAmt">#REF!</definedName>
    <definedName name="EstGrTaxAmt" localSheetId="21">#REF!</definedName>
    <definedName name="EstGrTaxAmt">#REF!</definedName>
    <definedName name="EstKWHExcess" localSheetId="21">#REF!</definedName>
    <definedName name="EstKWHExcess">#REF!</definedName>
    <definedName name="EstKWHNotUsed" localSheetId="21">#REF!</definedName>
    <definedName name="EstKWHNotUsed">#REF!</definedName>
    <definedName name="EstKWHRes" localSheetId="21">#REF!</definedName>
    <definedName name="EstKWHRes">#REF!</definedName>
    <definedName name="EstKWHSubTot" localSheetId="21">#REF!</definedName>
    <definedName name="EstKWHSubTot">#REF!</definedName>
    <definedName name="EstKWHTot" localSheetId="21">#REF!</definedName>
    <definedName name="EstKWHTot">#REF!</definedName>
    <definedName name="EstNotUsedAmt" localSheetId="21">#REF!</definedName>
    <definedName name="EstNotUsedAmt">#REF!</definedName>
    <definedName name="EstResAmt" localSheetId="21">#REF!</definedName>
    <definedName name="EstResAmt">#REF!</definedName>
    <definedName name="EstSubTotAmt" localSheetId="21">#REF!</definedName>
    <definedName name="EstSubTotAmt">#REF!</definedName>
    <definedName name="EstTotAmt" localSheetId="21">#REF!</definedName>
    <definedName name="EstTotAmt">#REF!</definedName>
    <definedName name="EXCSKVACHG" localSheetId="21">#REF!</definedName>
    <definedName name="EXCSKVACHG">#REF!</definedName>
    <definedName name="EXCSKVADMND" localSheetId="21">#REF!</definedName>
    <definedName name="EXCSKVADMND">#REF!</definedName>
    <definedName name="EXCSKVAR" localSheetId="21">#REF!</definedName>
    <definedName name="EXCSKVAR">#REF!</definedName>
    <definedName name="FIRMKWH" localSheetId="21">#REF!</definedName>
    <definedName name="FIRMKWH">#REF!</definedName>
    <definedName name="FIRSTDAY" localSheetId="21">#REF!</definedName>
    <definedName name="FIRSTDAY">#REF!</definedName>
    <definedName name="FRMCPCT" localSheetId="21">#REF!</definedName>
    <definedName name="FRMCPCT">#REF!</definedName>
    <definedName name="FUELCHG" localSheetId="21">#REF!</definedName>
    <definedName name="FUELCHG">#REF!</definedName>
    <definedName name="FUELRATE" localSheetId="21">#REF!</definedName>
    <definedName name="FUELRATE">#REF!</definedName>
    <definedName name="GenBlkKwhChg1" localSheetId="21">#REF!</definedName>
    <definedName name="GenBlkKwhChg1">#REF!</definedName>
    <definedName name="GenBlkKwhChg2" localSheetId="21">#REF!</definedName>
    <definedName name="GenBlkKwhChg2">#REF!</definedName>
    <definedName name="GenBlkKwhChg3" localSheetId="21">#REF!</definedName>
    <definedName name="GenBlkKwhChg3">#REF!</definedName>
    <definedName name="GenBlkKwhChgT" localSheetId="21">#REF!</definedName>
    <definedName name="GenBlkKwhChgT">#REF!</definedName>
    <definedName name="GENCCHG" localSheetId="21">#REF!</definedName>
    <definedName name="GENCCHG">#REF!</definedName>
    <definedName name="GenCustChg" localSheetId="21">#REF!</definedName>
    <definedName name="GenCustChg">#REF!</definedName>
    <definedName name="GENDCHG1" localSheetId="21">#REF!</definedName>
    <definedName name="GENDCHG1">#REF!</definedName>
    <definedName name="GENDCHG2" localSheetId="21">#REF!</definedName>
    <definedName name="GENDCHG2">#REF!</definedName>
    <definedName name="GenDmdChg1" localSheetId="21">#REF!</definedName>
    <definedName name="GenDmdChg1">#REF!</definedName>
    <definedName name="GenDmdChg2" localSheetId="21">#REF!</definedName>
    <definedName name="GenDmdChg2">#REF!</definedName>
    <definedName name="GENECHG1" localSheetId="21">#REF!</definedName>
    <definedName name="GENECHG1">#REF!</definedName>
    <definedName name="GENECHGB1" localSheetId="21">#REF!</definedName>
    <definedName name="GENECHGB1">#REF!</definedName>
    <definedName name="GENECHGB2" localSheetId="21">#REF!</definedName>
    <definedName name="GENECHGB2">#REF!</definedName>
    <definedName name="GENECHGB3" localSheetId="21">#REF!</definedName>
    <definedName name="GENECHGB3">#REF!</definedName>
    <definedName name="GenMEChg" localSheetId="21">#REF!</definedName>
    <definedName name="GenMEChg">#REF!</definedName>
    <definedName name="GENMECHG1" localSheetId="21">#REF!</definedName>
    <definedName name="GENMECHG1">#REF!</definedName>
    <definedName name="GENMINDC" localSheetId="21">#REF!</definedName>
    <definedName name="GENMINDC">#REF!</definedName>
    <definedName name="GenMinDChg" localSheetId="21">#REF!</definedName>
    <definedName name="GenMinDChg">#REF!</definedName>
    <definedName name="GENMINEC" localSheetId="21">#REF!</definedName>
    <definedName name="GENMINEC">#REF!</definedName>
    <definedName name="GenMinEChg" localSheetId="21">#REF!</definedName>
    <definedName name="GenMinEChg">#REF!</definedName>
    <definedName name="GenOffPkKwh" localSheetId="21">#REF!</definedName>
    <definedName name="GenOffPkKwh">#REF!</definedName>
    <definedName name="GENOFKWH" localSheetId="21">#REF!</definedName>
    <definedName name="GENOFKWH">#REF!</definedName>
    <definedName name="GenOnPkKwh" localSheetId="21">#REF!</definedName>
    <definedName name="GenOnPkKwh">#REF!</definedName>
    <definedName name="GENOPKWH" localSheetId="21">#REF!</definedName>
    <definedName name="GENOPKWH">#REF!</definedName>
    <definedName name="GENP1EC" localSheetId="21">#REF!</definedName>
    <definedName name="GENP1EC">#REF!</definedName>
    <definedName name="GENP2EC" localSheetId="21">#REF!</definedName>
    <definedName name="GENP2EC">#REF!</definedName>
    <definedName name="GENP3EC" localSheetId="21">#REF!</definedName>
    <definedName name="GENP3EC">#REF!</definedName>
    <definedName name="GENP4EC" localSheetId="21">#REF!</definedName>
    <definedName name="GENP4EC">#REF!</definedName>
    <definedName name="GENP5EC" localSheetId="21">#REF!</definedName>
    <definedName name="GENP5EC">#REF!</definedName>
    <definedName name="GenPL1Chg" localSheetId="21">#REF!</definedName>
    <definedName name="GenPL1Chg">#REF!</definedName>
    <definedName name="GenPL2Chg" localSheetId="21">#REF!</definedName>
    <definedName name="GenPL2Chg">#REF!</definedName>
    <definedName name="GenPL3Chg" localSheetId="21">#REF!</definedName>
    <definedName name="GenPL3Chg">#REF!</definedName>
    <definedName name="GenPL4Chg" localSheetId="21">#REF!</definedName>
    <definedName name="GenPL4Chg">#REF!</definedName>
    <definedName name="GenPL5Chg" localSheetId="21">#REF!</definedName>
    <definedName name="GenPL5Chg">#REF!</definedName>
    <definedName name="GENRCHG" localSheetId="21">#REF!</definedName>
    <definedName name="GENRCHG">#REF!</definedName>
    <definedName name="GenReactiveChg" localSheetId="21">#REF!</definedName>
    <definedName name="GenReactiveChg">#REF!</definedName>
    <definedName name="GENXOFKVA" localSheetId="21">#REF!</definedName>
    <definedName name="GENXOFKVA">#REF!</definedName>
    <definedName name="GENXOFKW" localSheetId="21">#REF!</definedName>
    <definedName name="GENXOFKW">#REF!</definedName>
    <definedName name="GenXOfpKvaChg" localSheetId="21">#REF!</definedName>
    <definedName name="GenXOfpKvaChg">#REF!</definedName>
    <definedName name="GenXOfpKwChg" localSheetId="21">#REF!</definedName>
    <definedName name="GenXOfpKwChg">#REF!</definedName>
    <definedName name="GIRPCCHG" localSheetId="21">#REF!</definedName>
    <definedName name="GIRPCCHG">#REF!</definedName>
    <definedName name="GIRPDCHG1" localSheetId="21">#REF!</definedName>
    <definedName name="GIRPDCHG1">#REF!</definedName>
    <definedName name="GIRPDCHG2" localSheetId="21">#REF!</definedName>
    <definedName name="GIRPDCHG2">#REF!</definedName>
    <definedName name="GIRPECHG1" localSheetId="21">#REF!</definedName>
    <definedName name="GIRPECHG1">#REF!</definedName>
    <definedName name="GIRPECHGB1" localSheetId="21">#REF!</definedName>
    <definedName name="GIRPECHGB1">#REF!</definedName>
    <definedName name="GIRPECHGB2" localSheetId="21">#REF!</definedName>
    <definedName name="GIRPECHGB2">#REF!</definedName>
    <definedName name="GIRPECHGB3" localSheetId="21">#REF!</definedName>
    <definedName name="GIRPECHGB3">#REF!</definedName>
    <definedName name="GIRPMECHG1" localSheetId="21">#REF!</definedName>
    <definedName name="GIRPMECHG1">#REF!</definedName>
    <definedName name="GIRPMINDC" localSheetId="21">#REF!</definedName>
    <definedName name="GIRPMINDC">#REF!</definedName>
    <definedName name="GIRPMINEC" localSheetId="21">#REF!</definedName>
    <definedName name="GIRPMINEC">#REF!</definedName>
    <definedName name="GIRPOFKVA" localSheetId="21">#REF!</definedName>
    <definedName name="GIRPOFKVA">#REF!</definedName>
    <definedName name="GIRPOFKW" localSheetId="21">#REF!</definedName>
    <definedName name="GIRPOFKW">#REF!</definedName>
    <definedName name="GIRPOFKWH" localSheetId="21">#REF!</definedName>
    <definedName name="GIRPOFKWH">#REF!</definedName>
    <definedName name="GIRPOPKWH" localSheetId="21">#REF!</definedName>
    <definedName name="GIRPOPKWH">#REF!</definedName>
    <definedName name="GIRPP1EC" localSheetId="21">#REF!</definedName>
    <definedName name="GIRPP1EC">#REF!</definedName>
    <definedName name="GIRPP2EC" localSheetId="21">#REF!</definedName>
    <definedName name="GIRPP2EC">#REF!</definedName>
    <definedName name="GIRPP3EC" localSheetId="21">#REF!</definedName>
    <definedName name="GIRPP3EC">#REF!</definedName>
    <definedName name="GIRPP4EC" localSheetId="21">#REF!</definedName>
    <definedName name="GIRPP4EC">#REF!</definedName>
    <definedName name="GIRPP5EC" localSheetId="21">#REF!</definedName>
    <definedName name="GIRPP5EC">#REF!</definedName>
    <definedName name="GIRPRCHG" localSheetId="21">#REF!</definedName>
    <definedName name="GIRPRCHG">#REF!</definedName>
    <definedName name="HIPREKW" localSheetId="21">#REF!</definedName>
    <definedName name="HIPREKW">#REF!</definedName>
    <definedName name="HRCRDKW" localSheetId="21">#REF!</definedName>
    <definedName name="HRCRDKW">#REF!</definedName>
    <definedName name="HRCRDKWDT" localSheetId="21">#REF!</definedName>
    <definedName name="HRCRDKWDT">#REF!</definedName>
    <definedName name="HRCRDKWTM" localSheetId="21">#REF!</definedName>
    <definedName name="HRCRDKWTM">#REF!</definedName>
    <definedName name="HROFPKDT" localSheetId="21">#REF!</definedName>
    <definedName name="HROFPKDT">#REF!</definedName>
    <definedName name="HROFPKKW" localSheetId="21">#REF!</definedName>
    <definedName name="HROFPKKW">#REF!</definedName>
    <definedName name="HROFPKTM" localSheetId="21">#REF!</definedName>
    <definedName name="HROFPKTM">#REF!</definedName>
    <definedName name="HRONPKDT" localSheetId="21">#REF!</definedName>
    <definedName name="HRONPKDT">#REF!</definedName>
    <definedName name="HRONPKKW" localSheetId="21">#REF!</definedName>
    <definedName name="HRONPKKW">#REF!</definedName>
    <definedName name="HRONPKTM" localSheetId="21">#REF!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1">#REF!</definedName>
    <definedName name="IM_Allocators" localSheetId="24">TCOS!#REF!</definedName>
    <definedName name="IM_Allocators" localSheetId="6">#REF!</definedName>
    <definedName name="IM_Allocators">TCOS!#REF!</definedName>
    <definedName name="IMCO" localSheetId="21">#REF!</definedName>
    <definedName name="IMCO" localSheetId="6">#REF!</definedName>
    <definedName name="IMCO">#REF!</definedName>
    <definedName name="InterruptCapacity" localSheetId="21">#REF!</definedName>
    <definedName name="InterruptCapacity" localSheetId="6">#REF!</definedName>
    <definedName name="InterruptCapacity">#REF!</definedName>
    <definedName name="InterruptOfpCapacity" localSheetId="21">#REF!</definedName>
    <definedName name="InterruptOfpCapacity" localSheetId="6">#REF!</definedName>
    <definedName name="InterruptOfpCapacity">#REF!</definedName>
    <definedName name="InterruptType" localSheetId="21">#REF!</definedName>
    <definedName name="InterruptType">#REF!</definedName>
    <definedName name="INTRPBLCAP" localSheetId="21">#REF!</definedName>
    <definedName name="INTRPBLCAP">#REF!</definedName>
    <definedName name="Invdetails" localSheetId="21">#REF!</definedName>
    <definedName name="Invdetails">#REF!</definedName>
    <definedName name="KWCHG" localSheetId="21">#REF!</definedName>
    <definedName name="KWCHG">#REF!</definedName>
    <definedName name="KWH1NOCMM" localSheetId="21">#REF!</definedName>
    <definedName name="KWH1NOCMM">#REF!</definedName>
    <definedName name="KWH3NOCMM" localSheetId="21">#REF!</definedName>
    <definedName name="KWH3NOCMM">#REF!</definedName>
    <definedName name="KWHCHG" localSheetId="21">#REF!</definedName>
    <definedName name="KWHCHG">#REF!</definedName>
    <definedName name="LASTDAY" localSheetId="21">#REF!</definedName>
    <definedName name="LASTDAY">#REF!</definedName>
    <definedName name="LASTFUEL" localSheetId="21">#REF!</definedName>
    <definedName name="LASTFUEL">#REF!</definedName>
    <definedName name="LASTMSRR" localSheetId="21">#REF!</definedName>
    <definedName name="LASTMSRR">#REF!</definedName>
    <definedName name="LASTPFCC" localSheetId="21">#REF!</definedName>
    <definedName name="LASTPFCC">#REF!</definedName>
    <definedName name="LDFCTR" localSheetId="21">#REF!</definedName>
    <definedName name="LDFCTR">#REF!</definedName>
    <definedName name="LRCREDIT" localSheetId="21">#REF!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1">#REF!</definedName>
    <definedName name="M_A" localSheetId="24">'WS I RESERVED'!#REF!</definedName>
    <definedName name="M_A" localSheetId="6">#REF!</definedName>
    <definedName name="M_A">'WS I RESERVED'!#REF!</definedName>
    <definedName name="MACC1" localSheetId="21">#REF!</definedName>
    <definedName name="MACC1" localSheetId="6">#REF!</definedName>
    <definedName name="MACC1">#REF!</definedName>
    <definedName name="MACC2" localSheetId="21">#REF!</definedName>
    <definedName name="MACC2" localSheetId="6">#REF!</definedName>
    <definedName name="MACC2">#REF!</definedName>
    <definedName name="MAINTHRSCRMO" localSheetId="21">#REF!</definedName>
    <definedName name="MAINTHRSCRMO" localSheetId="6">#REF!</definedName>
    <definedName name="MAINTHRSCRMO">#REF!</definedName>
    <definedName name="MAINTKWH" localSheetId="21">#REF!</definedName>
    <definedName name="MAINTKWH">#REF!</definedName>
    <definedName name="MinBillDem" localSheetId="21">#REF!</definedName>
    <definedName name="MinBillDem">#REF!</definedName>
    <definedName name="MinBillDem2" localSheetId="21">#REF!</definedName>
    <definedName name="MinBillDem2">#REF!</definedName>
    <definedName name="MinBillDmd" localSheetId="21">#REF!</definedName>
    <definedName name="MinBillDmd">#REF!</definedName>
    <definedName name="MSRRBLD" localSheetId="21">#REF!</definedName>
    <definedName name="MSRRBLD">#REF!</definedName>
    <definedName name="MSRRCHG" localSheetId="21">#REF!</definedName>
    <definedName name="MSRRCHG">#REF!</definedName>
    <definedName name="MTRMLTPLR1" localSheetId="21">#REF!</definedName>
    <definedName name="MTRMLTPLR1">#REF!</definedName>
    <definedName name="MTRMLTPLR2" localSheetId="21">#REF!</definedName>
    <definedName name="MTRMLTPLR2">#REF!</definedName>
    <definedName name="NETMRGCHG" localSheetId="21">#REF!</definedName>
    <definedName name="NETMRGCHG">#REF!</definedName>
    <definedName name="NODAYSINPRD" localSheetId="21">#REF!</definedName>
    <definedName name="NODAYSINPRD">#REF!</definedName>
    <definedName name="NODELPOINTS" localSheetId="21">#REF!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21">#REF!</definedName>
    <definedName name="NP_h" localSheetId="6">#REF!</definedName>
    <definedName name="NP_h">TCOS!$J$82</definedName>
    <definedName name="NP_h1" localSheetId="21">#REF!</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 localSheetId="21">0.000231481484661344</definedName>
    <definedName name="NvsElapsedTime">0.000231481484661344</definedName>
    <definedName name="NvsEndTime" localSheetId="21">39091.5909490741</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21">#REF!</definedName>
    <definedName name="OFPCBLKW" localSheetId="6">#REF!</definedName>
    <definedName name="OFPCBLKW">#REF!</definedName>
    <definedName name="OFPKBILLKWH" localSheetId="21">#REF!</definedName>
    <definedName name="OFPKBILLKWH" localSheetId="6">#REF!</definedName>
    <definedName name="OFPKBILLKWH">#REF!</definedName>
    <definedName name="OFPKCGNKWH" localSheetId="21">#REF!</definedName>
    <definedName name="OFPKCGNKWH" localSheetId="6">#REF!</definedName>
    <definedName name="OFPKCGNKWH">#REF!</definedName>
    <definedName name="OFPKCNTRCTCPCT" localSheetId="21">#REF!</definedName>
    <definedName name="OFPKCNTRCTCPCT">#REF!</definedName>
    <definedName name="OFPKDMPKWH" localSheetId="21">#REF!</definedName>
    <definedName name="OFPKDMPKWH">#REF!</definedName>
    <definedName name="OFPKDSCRKWH" localSheetId="21">#REF!</definedName>
    <definedName name="OFPKDSCRKWH">#REF!</definedName>
    <definedName name="OFPKDT" localSheetId="21">#REF!</definedName>
    <definedName name="OFPKDT">#REF!</definedName>
    <definedName name="OFPKEXCSKW" localSheetId="21">#REF!</definedName>
    <definedName name="OFPKEXCSKW">#REF!</definedName>
    <definedName name="OFPKINCRKWH" localSheetId="21">#REF!</definedName>
    <definedName name="OFPKINCRKWH">#REF!</definedName>
    <definedName name="OFPKKVADT" localSheetId="21">#REF!</definedName>
    <definedName name="OFPKKVADT">#REF!</definedName>
    <definedName name="OFPKKVATM" localSheetId="21">#REF!</definedName>
    <definedName name="OFPKKVATM">#REF!</definedName>
    <definedName name="OFPKKVW" localSheetId="21">#REF!</definedName>
    <definedName name="OFPKKVW">#REF!</definedName>
    <definedName name="OFPKKW" localSheetId="21">#REF!</definedName>
    <definedName name="OFPKKW">#REF!</definedName>
    <definedName name="OFPKKWH1NOCMM" localSheetId="21">#REF!</definedName>
    <definedName name="OFPKKWH1NOCMM">#REF!</definedName>
    <definedName name="OFPKKWH3NOCMM" localSheetId="21">#REF!</definedName>
    <definedName name="OFPKKWH3NOCMM">#REF!</definedName>
    <definedName name="OFPKRCRDKWH" localSheetId="21">#REF!</definedName>
    <definedName name="OFPKRCRDKWH">#REF!</definedName>
    <definedName name="OFPKTM" localSheetId="21">#REF!</definedName>
    <definedName name="OFPKTM">#REF!</definedName>
    <definedName name="OFPXCSKW" localSheetId="21">#REF!</definedName>
    <definedName name="OFPXCSKW">#REF!</definedName>
    <definedName name="OFPXCSKWDT" localSheetId="21">#REF!</definedName>
    <definedName name="OFPXCSKWDT">#REF!</definedName>
    <definedName name="OFPXCSKWH" localSheetId="21">#REF!</definedName>
    <definedName name="OFPXCSKWH">#REF!</definedName>
    <definedName name="OFPXCSKWTM" localSheetId="21">#REF!</definedName>
    <definedName name="OFPXCSKWTM">#REF!</definedName>
    <definedName name="ONPKBILLKWH" localSheetId="21">#REF!</definedName>
    <definedName name="ONPKBILLKWH">#REF!</definedName>
    <definedName name="ONPKCAPB" localSheetId="21">#REF!</definedName>
    <definedName name="ONPKCAPB">#REF!</definedName>
    <definedName name="ONPKCGNKWH" localSheetId="21">#REF!</definedName>
    <definedName name="ONPKCGNKWH">#REF!</definedName>
    <definedName name="ONPKCNTRCTCPCT" localSheetId="21">#REF!</definedName>
    <definedName name="ONPKCNTRCTCPCT">#REF!</definedName>
    <definedName name="ONPKDMPKWH" localSheetId="21">#REF!</definedName>
    <definedName name="ONPKDMPKWH">#REF!</definedName>
    <definedName name="ONPKDSCRKWH" localSheetId="21">#REF!</definedName>
    <definedName name="ONPKDSCRKWH">#REF!</definedName>
    <definedName name="ONPKDT" localSheetId="21">#REF!</definedName>
    <definedName name="ONPKDT">#REF!</definedName>
    <definedName name="ONPKINCRKWH" localSheetId="21">#REF!</definedName>
    <definedName name="ONPKINCRKWH">#REF!</definedName>
    <definedName name="ONPKKVA" localSheetId="21">#REF!</definedName>
    <definedName name="ONPKKVA">#REF!</definedName>
    <definedName name="ONPKKVADT" localSheetId="21">#REF!</definedName>
    <definedName name="ONPKKVADT">#REF!</definedName>
    <definedName name="ONPKKVATM" localSheetId="21">#REF!</definedName>
    <definedName name="ONPKKVATM">#REF!</definedName>
    <definedName name="ONPKKW" localSheetId="21">#REF!</definedName>
    <definedName name="ONPKKW">#REF!</definedName>
    <definedName name="ONPKKWH1NOCMM" localSheetId="21">#REF!</definedName>
    <definedName name="ONPKKWH1NOCMM">#REF!</definedName>
    <definedName name="ONPKKWH3NOCMM" localSheetId="21">#REF!</definedName>
    <definedName name="ONPKKWH3NOCMM">#REF!</definedName>
    <definedName name="ONPKRCRDKWH" localSheetId="21">#REF!</definedName>
    <definedName name="ONPKRCRDKWH">#REF!</definedName>
    <definedName name="ONPKTM" localSheetId="21">#REF!</definedName>
    <definedName name="ONPKTM">#REF!</definedName>
    <definedName name="OPCBLKW" localSheetId="21">#REF!</definedName>
    <definedName name="OPCBLKW">#REF!</definedName>
    <definedName name="OPCO" localSheetId="21">#REF!</definedName>
    <definedName name="OPCO">#REF!</definedName>
    <definedName name="OPXCSKW" localSheetId="21">#REF!</definedName>
    <definedName name="OPXCSKW">#REF!</definedName>
    <definedName name="OPXCSKWDT" localSheetId="21">#REF!</definedName>
    <definedName name="OPXCSKWDT">#REF!</definedName>
    <definedName name="OPXCSKWH" localSheetId="21">#REF!</definedName>
    <definedName name="OPXCSKWH">#REF!</definedName>
    <definedName name="OPXCSKWTM" localSheetId="21">#REF!</definedName>
    <definedName name="OPXCSKWTM">#REF!</definedName>
    <definedName name="OTHRTRNSKWH" localSheetId="21">#REF!</definedName>
    <definedName name="OTHRTRNSKWH">#REF!</definedName>
    <definedName name="P1PENPERC" localSheetId="21">#REF!</definedName>
    <definedName name="P1PENPERC">#REF!</definedName>
    <definedName name="P2PENPERC" localSheetId="21">#REF!</definedName>
    <definedName name="P2PENPERC">#REF!</definedName>
    <definedName name="PeakDemandChg" localSheetId="21">#REF!</definedName>
    <definedName name="PeakDemandChg">#REF!</definedName>
    <definedName name="PenaltyDays" localSheetId="21">#REF!</definedName>
    <definedName name="PenaltyDays">#REF!</definedName>
    <definedName name="PenaltyPct" localSheetId="21">#REF!</definedName>
    <definedName name="PenaltyPct">#REF!</definedName>
    <definedName name="PENDAYS" localSheetId="21">#REF!</definedName>
    <definedName name="PENDAYS">#REF!</definedName>
    <definedName name="PENDAYS2" localSheetId="21">#REF!</definedName>
    <definedName name="PENDAYS2">#REF!</definedName>
    <definedName name="PFCC" localSheetId="21">#REF!</definedName>
    <definedName name="PFCC">#REF!</definedName>
    <definedName name="PKKVAR" localSheetId="21">#REF!</definedName>
    <definedName name="PKKVAR">#REF!</definedName>
    <definedName name="PKKVARDATE" localSheetId="21">#REF!</definedName>
    <definedName name="PKKVARDATE">#REF!</definedName>
    <definedName name="PKKVARTIME" localSheetId="21">#REF!</definedName>
    <definedName name="PKKVARTIME">#REF!</definedName>
    <definedName name="PLVLKWH1" localSheetId="21">#REF!</definedName>
    <definedName name="PLVLKWH1">#REF!</definedName>
    <definedName name="PLVLKWH1A" localSheetId="21">#REF!</definedName>
    <definedName name="PLVLKWH1A">#REF!</definedName>
    <definedName name="PLVLKWH2" localSheetId="21">#REF!</definedName>
    <definedName name="PLVLKWH2">#REF!</definedName>
    <definedName name="PLVLKWH23A" localSheetId="21">#REF!</definedName>
    <definedName name="PLVLKWH23A">#REF!</definedName>
    <definedName name="PLVLKWH25" localSheetId="21">#REF!</definedName>
    <definedName name="PLVLKWH25">#REF!</definedName>
    <definedName name="PLVLKWH2A" localSheetId="21">#REF!</definedName>
    <definedName name="PLVLKWH2A">#REF!</definedName>
    <definedName name="PLVLKWH3" localSheetId="21">#REF!</definedName>
    <definedName name="PLVLKWH3">#REF!</definedName>
    <definedName name="PLVLKWH3A" localSheetId="21">#REF!</definedName>
    <definedName name="PLVLKWH3A">#REF!</definedName>
    <definedName name="PLVLKWH4" localSheetId="21">#REF!</definedName>
    <definedName name="PLVLKWH4">#REF!</definedName>
    <definedName name="PLVLKWH4A" localSheetId="21">#REF!</definedName>
    <definedName name="PLVLKWH4A">#REF!</definedName>
    <definedName name="PRICEDESIG" localSheetId="21">#REF!</definedName>
    <definedName name="PRICEDESIG">#REF!</definedName>
    <definedName name="PriMoAddr1" localSheetId="21">#REF!</definedName>
    <definedName name="PriMoAddr1">#REF!</definedName>
    <definedName name="PriMoAddr2" localSheetId="21">#REF!</definedName>
    <definedName name="PriMoAddr2">#REF!</definedName>
    <definedName name="PriMoBTDetail" localSheetId="21">#REF!</definedName>
    <definedName name="PriMoBTDetail">#REF!</definedName>
    <definedName name="PriMoBuyThrgh_Sheet" localSheetId="21">#REF!</definedName>
    <definedName name="PriMoBuyThrgh_Sheet">#REF!</definedName>
    <definedName name="PriMoCityStZip" localSheetId="21">#REF!</definedName>
    <definedName name="PriMoCityStZip">#REF!</definedName>
    <definedName name="PriMoCustName" localSheetId="21">#REF!</definedName>
    <definedName name="PriMoCustName">#REF!</definedName>
    <definedName name="PriMoMtrMult" localSheetId="21">#REF!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RESERVED'!$A$3:$J$6</definedName>
    <definedName name="_xlnm.Print_Area" localSheetId="15">'WS J PROJECTED RTEP RR'!$A$1:$O$170</definedName>
    <definedName name="_xlnm.Print_Area" localSheetId="16">'WS K TRUE-UP RTEP RR'!$A$3:$P$166</definedName>
    <definedName name="_xlnm.Print_Area" localSheetId="17">'WS L RESERVED'!$A$3:$F$9</definedName>
    <definedName name="_xlnm.Print_Area" localSheetId="19">'WS N - Sale of Plant Held'!$A$3:$U$35</definedName>
    <definedName name="_xlnm.Print_Area" localSheetId="21">#REF!</definedName>
    <definedName name="_xlnm.Print_Area" localSheetId="22">'WS Q Cap Structure'!$A$1:$J$237</definedName>
    <definedName name="_xlnm.Print_Area" localSheetId="23">'WS R Interest'!$A$1:$L$61</definedName>
    <definedName name="_xlnm.Print_Area" localSheetId="24">'WS R Schedule 1A'!$A$1:$L$61</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21">#REF!</definedName>
    <definedName name="PRVCNT" localSheetId="6">#REF!</definedName>
    <definedName name="PRVCNT">#REF!</definedName>
    <definedName name="PRVDATE" localSheetId="21">#REF!</definedName>
    <definedName name="PRVDATE" localSheetId="6">#REF!</definedName>
    <definedName name="PRVDATE">#REF!</definedName>
    <definedName name="PRVFUEL" localSheetId="21">#REF!</definedName>
    <definedName name="PRVFUEL" localSheetId="6">#REF!</definedName>
    <definedName name="PRVFUEL">#REF!</definedName>
    <definedName name="PRVKW" localSheetId="21">#REF!</definedName>
    <definedName name="PRVKW">#REF!</definedName>
    <definedName name="PRVKWH" localSheetId="21">#REF!</definedName>
    <definedName name="PRVKWH">#REF!</definedName>
    <definedName name="PRVMSRR" localSheetId="21">#REF!</definedName>
    <definedName name="PRVMSRR">#REF!</definedName>
    <definedName name="PRVPFCC" localSheetId="21">#REF!</definedName>
    <definedName name="PRVPFCC">#REF!</definedName>
    <definedName name="PSO_Proj_Allocators" localSheetId="13">#REF!</definedName>
    <definedName name="PSO_Proj_Allocators" localSheetId="21">#REF!</definedName>
    <definedName name="PSO_Proj_Allocators">#REF!</definedName>
    <definedName name="PSOallocatorsP" localSheetId="21">#REF!</definedName>
    <definedName name="PSOallocatorsP">#REF!</definedName>
    <definedName name="PVHIOFPCBL" localSheetId="21">#REF!</definedName>
    <definedName name="PVHIOFPCBL">#REF!</definedName>
    <definedName name="PVHIOPCBL" localSheetId="21">#REF!</definedName>
    <definedName name="PVHIOPCBL">#REF!</definedName>
    <definedName name="RatchetFactor" localSheetId="21">#REF!</definedName>
    <definedName name="RatchetFactor">#REF!</definedName>
    <definedName name="RCRDRID" localSheetId="21">#REF!</definedName>
    <definedName name="RCRDRID">#REF!</definedName>
    <definedName name="RCTVHRS" localSheetId="21">#REF!</definedName>
    <definedName name="RCTVHRS">#REF!</definedName>
    <definedName name="RDRBLK1C" localSheetId="21">#REF!</definedName>
    <definedName name="RDRBLK1C">#REF!</definedName>
    <definedName name="RDRBLK1Q" localSheetId="21">#REF!</definedName>
    <definedName name="RDRBLK1Q">#REF!</definedName>
    <definedName name="RDRBLK2C" localSheetId="21">#REF!</definedName>
    <definedName name="RDRBLK2C">#REF!</definedName>
    <definedName name="RDRBLK2Q" localSheetId="21">#REF!</definedName>
    <definedName name="RDRBLK2Q">#REF!</definedName>
    <definedName name="RDRBLK3C" localSheetId="21">#REF!</definedName>
    <definedName name="RDRBLK3C">#REF!</definedName>
    <definedName name="RDRBLK3Q" localSheetId="21">#REF!</definedName>
    <definedName name="RDRBLK3Q">#REF!</definedName>
    <definedName name="RDRBLKTC" localSheetId="21">#REF!</definedName>
    <definedName name="RDRBLKTC">#REF!</definedName>
    <definedName name="RDRBLKTC1" localSheetId="21">#REF!</definedName>
    <definedName name="RDRBLKTC1">#REF!</definedName>
    <definedName name="RDRBLKTC10" localSheetId="21">#REF!</definedName>
    <definedName name="RDRBLKTC10">#REF!</definedName>
    <definedName name="RDRBLKTC11" localSheetId="21">#REF!</definedName>
    <definedName name="RDRBLKTC11">#REF!</definedName>
    <definedName name="RDRBLKTC12" localSheetId="21">#REF!</definedName>
    <definedName name="RDRBLKTC12">#REF!</definedName>
    <definedName name="RDRBLKTC13" localSheetId="21">#REF!</definedName>
    <definedName name="RDRBLKTC13">#REF!</definedName>
    <definedName name="RDRBLKTC14" localSheetId="21">#REF!</definedName>
    <definedName name="RDRBLKTC14">#REF!</definedName>
    <definedName name="RDRBLKTC15" localSheetId="21">#REF!</definedName>
    <definedName name="RDRBLKTC15">#REF!</definedName>
    <definedName name="RDRBLKTC16" localSheetId="21">#REF!</definedName>
    <definedName name="RDRBLKTC16">#REF!</definedName>
    <definedName name="RDRBLKTC17" localSheetId="21">#REF!</definedName>
    <definedName name="RDRBLKTC17">#REF!</definedName>
    <definedName name="RDRBLKTC18" localSheetId="21">#REF!</definedName>
    <definedName name="RDRBLKTC18">#REF!</definedName>
    <definedName name="RDRBLKTC19" localSheetId="21">#REF!</definedName>
    <definedName name="RDRBLKTC19">#REF!</definedName>
    <definedName name="RDRBLKTC2" localSheetId="21">#REF!</definedName>
    <definedName name="RDRBLKTC2">#REF!</definedName>
    <definedName name="RDRBLKTC20" localSheetId="21">#REF!</definedName>
    <definedName name="RDRBLKTC20">#REF!</definedName>
    <definedName name="RDRBLKTC3" localSheetId="21">#REF!</definedName>
    <definedName name="RDRBLKTC3">#REF!</definedName>
    <definedName name="RDRBLKTC4" localSheetId="21">#REF!</definedName>
    <definedName name="RDRBLKTC4">#REF!</definedName>
    <definedName name="RDRBLKTC5" localSheetId="21">#REF!</definedName>
    <definedName name="RDRBLKTC5">#REF!</definedName>
    <definedName name="RDRBLKTC6" localSheetId="21">#REF!</definedName>
    <definedName name="RDRBLKTC6">#REF!</definedName>
    <definedName name="RDRBLKTC7" localSheetId="21">#REF!</definedName>
    <definedName name="RDRBLKTC7">#REF!</definedName>
    <definedName name="RDRBLKTC8" localSheetId="21">#REF!</definedName>
    <definedName name="RDRBLKTC8">#REF!</definedName>
    <definedName name="RDRBLKTC9" localSheetId="21">#REF!</definedName>
    <definedName name="RDRBLKTC9">#REF!</definedName>
    <definedName name="RDRBLKTQ" localSheetId="21">#REF!</definedName>
    <definedName name="RDRBLKTQ">#REF!</definedName>
    <definedName name="RDRCODE" localSheetId="21">#REF!</definedName>
    <definedName name="RDRCODE">#REF!</definedName>
    <definedName name="RDRCYCLE" localSheetId="21">#REF!</definedName>
    <definedName name="RDRCYCLE">#REF!</definedName>
    <definedName name="RDRDATE" localSheetId="21">#REF!</definedName>
    <definedName name="RDRDATE">#REF!</definedName>
    <definedName name="RDRNAME" localSheetId="21">#REF!</definedName>
    <definedName name="RDRNAME">#REF!</definedName>
    <definedName name="RDRRATEB" localSheetId="21">#REF!</definedName>
    <definedName name="RDRRATEB">#REF!</definedName>
    <definedName name="RDRRATEB1" localSheetId="21">#REF!</definedName>
    <definedName name="RDRRATEB1">#REF!</definedName>
    <definedName name="RDRRATEB10" localSheetId="21">#REF!</definedName>
    <definedName name="RDRRATEB10">#REF!</definedName>
    <definedName name="RDRRATEB11" localSheetId="21">#REF!</definedName>
    <definedName name="RDRRATEB11">#REF!</definedName>
    <definedName name="RDRRATEB12" localSheetId="21">#REF!</definedName>
    <definedName name="RDRRATEB12">#REF!</definedName>
    <definedName name="RDRRATEB13" localSheetId="21">#REF!</definedName>
    <definedName name="RDRRATEB13">#REF!</definedName>
    <definedName name="RDRRATEB14" localSheetId="21">#REF!</definedName>
    <definedName name="RDRRATEB14">#REF!</definedName>
    <definedName name="RDRRATEB15" localSheetId="21">#REF!</definedName>
    <definedName name="RDRRATEB15">#REF!</definedName>
    <definedName name="RDRRATEB16" localSheetId="21">#REF!</definedName>
    <definedName name="RDRRATEB16">#REF!</definedName>
    <definedName name="RDRRATEB17" localSheetId="21">#REF!</definedName>
    <definedName name="RDRRATEB17">#REF!</definedName>
    <definedName name="RDRRATEB18" localSheetId="21">#REF!</definedName>
    <definedName name="RDRRATEB18">#REF!</definedName>
    <definedName name="RDRRATEB19" localSheetId="21">#REF!</definedName>
    <definedName name="RDRRATEB19">#REF!</definedName>
    <definedName name="RDRRATEB2" localSheetId="21">#REF!</definedName>
    <definedName name="RDRRATEB2">#REF!</definedName>
    <definedName name="RDRRATEB20" localSheetId="21">#REF!</definedName>
    <definedName name="RDRRATEB20">#REF!</definedName>
    <definedName name="RDRRATEB3" localSheetId="21">#REF!</definedName>
    <definedName name="RDRRATEB3">#REF!</definedName>
    <definedName name="RDRRATEB4" localSheetId="21">#REF!</definedName>
    <definedName name="RDRRATEB4">#REF!</definedName>
    <definedName name="RDRRATEB5" localSheetId="21">#REF!</definedName>
    <definedName name="RDRRATEB5">#REF!</definedName>
    <definedName name="RDRRATEB6" localSheetId="21">#REF!</definedName>
    <definedName name="RDRRATEB6">#REF!</definedName>
    <definedName name="RDRRATEB7" localSheetId="21">#REF!</definedName>
    <definedName name="RDRRATEB7">#REF!</definedName>
    <definedName name="RDRRATEB8" localSheetId="21">#REF!</definedName>
    <definedName name="RDRRATEB8">#REF!</definedName>
    <definedName name="RDRRATEB9" localSheetId="21">#REF!</definedName>
    <definedName name="RDRRATEB9">#REF!</definedName>
    <definedName name="RDRRATED" localSheetId="21">#REF!</definedName>
    <definedName name="RDRRATED">#REF!</definedName>
    <definedName name="RDRRATED1" localSheetId="21">#REF!</definedName>
    <definedName name="RDRRATED1">#REF!</definedName>
    <definedName name="RDRRATED10" localSheetId="21">#REF!</definedName>
    <definedName name="RDRRATED10">#REF!</definedName>
    <definedName name="RDRRATED11" localSheetId="21">#REF!</definedName>
    <definedName name="RDRRATED11">#REF!</definedName>
    <definedName name="RDRRATED12" localSheetId="21">#REF!</definedName>
    <definedName name="RDRRATED12">#REF!</definedName>
    <definedName name="RDRRATED13" localSheetId="21">#REF!</definedName>
    <definedName name="RDRRATED13">#REF!</definedName>
    <definedName name="RDRRATED14" localSheetId="21">#REF!</definedName>
    <definedName name="RDRRATED14">#REF!</definedName>
    <definedName name="RDRRATED15" localSheetId="21">#REF!</definedName>
    <definedName name="RDRRATED15">#REF!</definedName>
    <definedName name="RDRRATED16" localSheetId="21">#REF!</definedName>
    <definedName name="RDRRATED16">#REF!</definedName>
    <definedName name="RDRRATED17" localSheetId="21">#REF!</definedName>
    <definedName name="RDRRATED17">#REF!</definedName>
    <definedName name="RDRRATED18" localSheetId="21">#REF!</definedName>
    <definedName name="RDRRATED18">#REF!</definedName>
    <definedName name="RDRRATED19" localSheetId="21">#REF!</definedName>
    <definedName name="RDRRATED19">#REF!</definedName>
    <definedName name="RDRRATED2" localSheetId="21">#REF!</definedName>
    <definedName name="RDRRATED2">#REF!</definedName>
    <definedName name="RDRRATED20" localSheetId="21">#REF!</definedName>
    <definedName name="RDRRATED20">#REF!</definedName>
    <definedName name="RDRRATED3" localSheetId="21">#REF!</definedName>
    <definedName name="RDRRATED3">#REF!</definedName>
    <definedName name="RDRRATED4" localSheetId="21">#REF!</definedName>
    <definedName name="RDRRATED4">#REF!</definedName>
    <definedName name="RDRRATED5" localSheetId="21">#REF!</definedName>
    <definedName name="RDRRATED5">#REF!</definedName>
    <definedName name="RDRRATED6" localSheetId="21">#REF!</definedName>
    <definedName name="RDRRATED6">#REF!</definedName>
    <definedName name="RDRRATED7" localSheetId="21">#REF!</definedName>
    <definedName name="RDRRATED7">#REF!</definedName>
    <definedName name="RDRRATED8" localSheetId="21">#REF!</definedName>
    <definedName name="RDRRATED8">#REF!</definedName>
    <definedName name="RDRRATED9" localSheetId="21">#REF!</definedName>
    <definedName name="RDRRATED9">#REF!</definedName>
    <definedName name="RDRRATEG" localSheetId="21">#REF!</definedName>
    <definedName name="RDRRATEG">#REF!</definedName>
    <definedName name="RDRRATEG1" localSheetId="21">#REF!</definedName>
    <definedName name="RDRRATEG1">#REF!</definedName>
    <definedName name="RDRRATEG10" localSheetId="21">#REF!</definedName>
    <definedName name="RDRRATEG10">#REF!</definedName>
    <definedName name="RDRRATEG11" localSheetId="21">#REF!</definedName>
    <definedName name="RDRRATEG11">#REF!</definedName>
    <definedName name="RDRRATEG12" localSheetId="21">#REF!</definedName>
    <definedName name="RDRRATEG12">#REF!</definedName>
    <definedName name="RDRRATEG13" localSheetId="21">#REF!</definedName>
    <definedName name="RDRRATEG13">#REF!</definedName>
    <definedName name="RDRRATEG14" localSheetId="21">#REF!</definedName>
    <definedName name="RDRRATEG14">#REF!</definedName>
    <definedName name="RDRRATEG15" localSheetId="21">#REF!</definedName>
    <definedName name="RDRRATEG15">#REF!</definedName>
    <definedName name="RDRRATEG16" localSheetId="21">#REF!</definedName>
    <definedName name="RDRRATEG16">#REF!</definedName>
    <definedName name="RDRRATEG17" localSheetId="21">#REF!</definedName>
    <definedName name="RDRRATEG17">#REF!</definedName>
    <definedName name="RDRRATEG18" localSheetId="21">#REF!</definedName>
    <definedName name="RDRRATEG18">#REF!</definedName>
    <definedName name="RDRRATEG19" localSheetId="21">#REF!</definedName>
    <definedName name="RDRRATEG19">#REF!</definedName>
    <definedName name="RDRRATEG2" localSheetId="21">#REF!</definedName>
    <definedName name="RDRRATEG2">#REF!</definedName>
    <definedName name="RDRRATEG20" localSheetId="21">#REF!</definedName>
    <definedName name="RDRRATEG20">#REF!</definedName>
    <definedName name="RDRRATEG3" localSheetId="21">#REF!</definedName>
    <definedName name="RDRRATEG3">#REF!</definedName>
    <definedName name="RDRRATEG4" localSheetId="21">#REF!</definedName>
    <definedName name="RDRRATEG4">#REF!</definedName>
    <definedName name="RDRRATEG5" localSheetId="21">#REF!</definedName>
    <definedName name="RDRRATEG5">#REF!</definedName>
    <definedName name="RDRRATEG6" localSheetId="21">#REF!</definedName>
    <definedName name="RDRRATEG6">#REF!</definedName>
    <definedName name="RDRRATEG7" localSheetId="21">#REF!</definedName>
    <definedName name="RDRRATEG7">#REF!</definedName>
    <definedName name="RDRRATEG8" localSheetId="21">#REF!</definedName>
    <definedName name="RDRRATEG8">#REF!</definedName>
    <definedName name="RDRRATEG9" localSheetId="21">#REF!</definedName>
    <definedName name="RDRRATEG9">#REF!</definedName>
    <definedName name="RDRRATET" localSheetId="21">#REF!</definedName>
    <definedName name="RDRRATET">#REF!</definedName>
    <definedName name="RDRRATET1" localSheetId="21">#REF!</definedName>
    <definedName name="RDRRATET1">#REF!</definedName>
    <definedName name="RDRRATET10" localSheetId="21">#REF!</definedName>
    <definedName name="RDRRATET10">#REF!</definedName>
    <definedName name="RDRRATET11" localSheetId="21">#REF!</definedName>
    <definedName name="RDRRATET11">#REF!</definedName>
    <definedName name="RDRRATET12" localSheetId="21">#REF!</definedName>
    <definedName name="RDRRATET12">#REF!</definedName>
    <definedName name="RDRRATET13" localSheetId="21">#REF!</definedName>
    <definedName name="RDRRATET13">#REF!</definedName>
    <definedName name="RDRRATET14" localSheetId="21">#REF!</definedName>
    <definedName name="RDRRATET14">#REF!</definedName>
    <definedName name="RDRRATET15" localSheetId="21">#REF!</definedName>
    <definedName name="RDRRATET15">#REF!</definedName>
    <definedName name="RDRRATET16" localSheetId="21">#REF!</definedName>
    <definedName name="RDRRATET16">#REF!</definedName>
    <definedName name="RDRRATET17" localSheetId="21">#REF!</definedName>
    <definedName name="RDRRATET17">#REF!</definedName>
    <definedName name="RDRRATET18" localSheetId="21">#REF!</definedName>
    <definedName name="RDRRATET18">#REF!</definedName>
    <definedName name="RDRRATET19" localSheetId="21">#REF!</definedName>
    <definedName name="RDRRATET19">#REF!</definedName>
    <definedName name="RDRRATET2" localSheetId="21">#REF!</definedName>
    <definedName name="RDRRATET2">#REF!</definedName>
    <definedName name="RDRRATET20" localSheetId="21">#REF!</definedName>
    <definedName name="RDRRATET20">#REF!</definedName>
    <definedName name="RDRRATET3" localSheetId="21">#REF!</definedName>
    <definedName name="RDRRATET3">#REF!</definedName>
    <definedName name="RDRRATET4" localSheetId="21">#REF!</definedName>
    <definedName name="RDRRATET4">#REF!</definedName>
    <definedName name="RDRRATET5" localSheetId="21">#REF!</definedName>
    <definedName name="RDRRATET5">#REF!</definedName>
    <definedName name="RDRRATET6" localSheetId="21">#REF!</definedName>
    <definedName name="RDRRATET6">#REF!</definedName>
    <definedName name="RDRRATET7" localSheetId="21">#REF!</definedName>
    <definedName name="RDRRATET7">#REF!</definedName>
    <definedName name="RDRRATET8" localSheetId="21">#REF!</definedName>
    <definedName name="RDRRATET8">#REF!</definedName>
    <definedName name="RDRRATET9" localSheetId="21">#REF!</definedName>
    <definedName name="RDRRATET9">#REF!</definedName>
    <definedName name="RDRTYPE" localSheetId="21">#REF!</definedName>
    <definedName name="RDRTYPE">#REF!</definedName>
    <definedName name="RDRUNITS" localSheetId="21">#REF!</definedName>
    <definedName name="RDRUNITS">#REF!</definedName>
    <definedName name="_xlnm.Recorder" localSheetId="21">#REF!</definedName>
    <definedName name="_xlnm.Recorder">#REF!</definedName>
    <definedName name="Reserved_Section" localSheetId="21">#REF!</definedName>
    <definedName name="Reserved_Section">#REF!</definedName>
    <definedName name="RIDERS" localSheetId="21">#REF!</definedName>
    <definedName name="RIDERS">#REF!</definedName>
    <definedName name="RKVAHRDNG" localSheetId="21">#REF!</definedName>
    <definedName name="RKVAHRDNG">#REF!</definedName>
    <definedName name="RTCHTCNTRCTCPCT" localSheetId="21">#REF!</definedName>
    <definedName name="RTCHTCNTRCTCPCT">#REF!</definedName>
    <definedName name="RTCHTFCTR" localSheetId="21">#REF!</definedName>
    <definedName name="RTCHTFCTR">#REF!</definedName>
    <definedName name="RTCHTFCTR2" localSheetId="21">#REF!</definedName>
    <definedName name="RTCHTFCTR2">#REF!</definedName>
    <definedName name="RTCHTHIPREVKW" localSheetId="21">#REF!</definedName>
    <definedName name="RTCHTHIPREVKW">#REF!</definedName>
    <definedName name="RTP_Detail" localSheetId="21">#REF!</definedName>
    <definedName name="RTP_Detail">#REF!</definedName>
    <definedName name="RTPLRKW" localSheetId="21">#REF!</definedName>
    <definedName name="RTPLRKW">#REF!</definedName>
    <definedName name="SDI" localSheetId="21">#REF!</definedName>
    <definedName name="SDI">#REF!</definedName>
    <definedName name="SHLDRPKKW" localSheetId="21">#REF!</definedName>
    <definedName name="SHLDRPKKW">#REF!</definedName>
    <definedName name="SHLDRPKKWDT" localSheetId="21">#REF!</definedName>
    <definedName name="SHLDRPKKWDT">#REF!</definedName>
    <definedName name="SHLDRPKKWTM" localSheetId="21">#REF!</definedName>
    <definedName name="SHLDRPKKWTM">#REF!</definedName>
    <definedName name="SHRDTRNSKWH" localSheetId="21">#REF!</definedName>
    <definedName name="SHRDTRNSKWH">#REF!</definedName>
    <definedName name="SRPLSKWH" localSheetId="21">#REF!</definedName>
    <definedName name="SRPLSKWH">#REF!</definedName>
    <definedName name="STARTDTM" localSheetId="21">#REF!</definedName>
    <definedName name="STARTDTM">#REF!</definedName>
    <definedName name="State" localSheetId="21">#REF!</definedName>
    <definedName name="State">#REF!</definedName>
    <definedName name="STDKW" localSheetId="21">#REF!</definedName>
    <definedName name="STDKW">#REF!</definedName>
    <definedName name="STDKWDT" localSheetId="21">#REF!</definedName>
    <definedName name="STDKWDT">#REF!</definedName>
    <definedName name="STDKWTM" localSheetId="21">#REF!</definedName>
    <definedName name="STDKWTM">#REF!</definedName>
    <definedName name="STRTTIME" localSheetId="21">#REF!</definedName>
    <definedName name="STRTTIME">#REF!</definedName>
    <definedName name="SWP_Proj_Allocators" localSheetId="21">#REF!</definedName>
    <definedName name="SWP_Proj_Allocators">#REF!</definedName>
    <definedName name="SWPallocatorsH" localSheetId="21">#REF!</definedName>
    <definedName name="SWPallocatorsH">#REF!</definedName>
    <definedName name="SWPallocatorsP" localSheetId="21">#REF!</definedName>
    <definedName name="SWPallocatorsP">#REF!</definedName>
    <definedName name="SYSPKKW" localSheetId="21">#REF!</definedName>
    <definedName name="SYSPKKW">#REF!</definedName>
    <definedName name="SYSPKKWDT" localSheetId="21">#REF!</definedName>
    <definedName name="SYSPKKWDT">#REF!</definedName>
    <definedName name="SYSPKKWTM" localSheetId="21">#REF!</definedName>
    <definedName name="SYSPKKWTM">#REF!</definedName>
    <definedName name="TARIFF1" localSheetId="21">#REF!</definedName>
    <definedName name="TARIFF1">#REF!</definedName>
    <definedName name="TARIFF2" localSheetId="21">#REF!</definedName>
    <definedName name="TARIFF2">#REF!</definedName>
    <definedName name="TariffCode" localSheetId="21">#REF!</definedName>
    <definedName name="TariffCode">#REF!</definedName>
    <definedName name="TariffLongName" localSheetId="21">#REF!</definedName>
    <definedName name="TariffLongName">#REF!</definedName>
    <definedName name="TariffShortName" localSheetId="21">#REF!</definedName>
    <definedName name="TariffShortName">#REF!</definedName>
    <definedName name="TAXDATE" localSheetId="21">#REF!</definedName>
    <definedName name="TAXDATE">#REF!</definedName>
    <definedName name="TAXES" localSheetId="21">#REF!</definedName>
    <definedName name="TAXES">#REF!</definedName>
    <definedName name="TAXNAME" localSheetId="21">#REF!</definedName>
    <definedName name="TAXNAME">#REF!</definedName>
    <definedName name="TAXRATE" localSheetId="21">#REF!</definedName>
    <definedName name="TAXRATE">#REF!</definedName>
    <definedName name="TAXTYPE" localSheetId="21">#REF!</definedName>
    <definedName name="TAXTYPE">#REF!</definedName>
    <definedName name="TCst" localSheetId="21">#REF!</definedName>
    <definedName name="TCst">#REF!</definedName>
    <definedName name="TCst1" localSheetId="21">#REF!</definedName>
    <definedName name="TCst1">#REF!</definedName>
    <definedName name="TIRPCCHG" localSheetId="21">#REF!</definedName>
    <definedName name="TIRPCCHG">#REF!</definedName>
    <definedName name="TIRPDCHG1" localSheetId="21">#REF!</definedName>
    <definedName name="TIRPDCHG1">#REF!</definedName>
    <definedName name="TIRPDCHG2" localSheetId="21">#REF!</definedName>
    <definedName name="TIRPDCHG2">#REF!</definedName>
    <definedName name="TIRPECHG1" localSheetId="21">#REF!</definedName>
    <definedName name="TIRPECHG1">#REF!</definedName>
    <definedName name="TIRPECHGB1" localSheetId="21">#REF!</definedName>
    <definedName name="TIRPECHGB1">#REF!</definedName>
    <definedName name="TIRPECHGB2" localSheetId="21">#REF!</definedName>
    <definedName name="TIRPECHGB2">#REF!</definedName>
    <definedName name="TIRPECHGB3" localSheetId="21">#REF!</definedName>
    <definedName name="TIRPECHGB3">#REF!</definedName>
    <definedName name="TIRPMECHG1" localSheetId="21">#REF!</definedName>
    <definedName name="TIRPMECHG1">#REF!</definedName>
    <definedName name="TIRPMINDC" localSheetId="21">#REF!</definedName>
    <definedName name="TIRPMINDC">#REF!</definedName>
    <definedName name="TIRPMINEC" localSheetId="21">#REF!</definedName>
    <definedName name="TIRPMINEC">#REF!</definedName>
    <definedName name="TIRPOFKVA" localSheetId="21">#REF!</definedName>
    <definedName name="TIRPOFKVA">#REF!</definedName>
    <definedName name="TIRPOFKW" localSheetId="21">#REF!</definedName>
    <definedName name="TIRPOFKW">#REF!</definedName>
    <definedName name="TIRPOFKWH" localSheetId="21">#REF!</definedName>
    <definedName name="TIRPOFKWH">#REF!</definedName>
    <definedName name="TIRPOPKWH" localSheetId="21">#REF!</definedName>
    <definedName name="TIRPOPKWH">#REF!</definedName>
    <definedName name="TIRPP1EC" localSheetId="21">#REF!</definedName>
    <definedName name="TIRPP1EC">#REF!</definedName>
    <definedName name="TIRPP2EC" localSheetId="21">#REF!</definedName>
    <definedName name="TIRPP2EC">#REF!</definedName>
    <definedName name="TIRPP3EC" localSheetId="21">#REF!</definedName>
    <definedName name="TIRPP3EC">#REF!</definedName>
    <definedName name="TIRPP4EC" localSheetId="21">#REF!</definedName>
    <definedName name="TIRPP4EC">#REF!</definedName>
    <definedName name="TIRPP5EC" localSheetId="21">#REF!</definedName>
    <definedName name="TIRPP5EC">#REF!</definedName>
    <definedName name="TIRPRCHG" localSheetId="21">#REF!</definedName>
    <definedName name="TIRPRCHG">#REF!</definedName>
    <definedName name="TLsFctr" localSheetId="21">#REF!</definedName>
    <definedName name="TLsFctr">#REF!</definedName>
    <definedName name="TRCRDKWH" localSheetId="21">#REF!</definedName>
    <definedName name="TRCRDKWH">#REF!</definedName>
    <definedName name="TRCRDKWH2P" localSheetId="21">#REF!</definedName>
    <definedName name="TRCRDKWH2P">#REF!</definedName>
    <definedName name="TRFDATE1" localSheetId="21">#REF!</definedName>
    <definedName name="TRFDATE1">#REF!</definedName>
    <definedName name="TRFDATE2" localSheetId="21">#REF!</definedName>
    <definedName name="TRFDATE2">#REF!</definedName>
    <definedName name="TRFNAME1" localSheetId="21">#REF!</definedName>
    <definedName name="TRFNAME1">#REF!</definedName>
    <definedName name="TRFNAME2" localSheetId="21">#REF!</definedName>
    <definedName name="TRFNAME2">#REF!</definedName>
    <definedName name="TRFSHORTNM1" localSheetId="21">#REF!</definedName>
    <definedName name="TRFSHORTNM1">#REF!</definedName>
    <definedName name="TRFSHORTNM2" localSheetId="21">#REF!</definedName>
    <definedName name="TRFSHORTNM2">#REF!</definedName>
    <definedName name="TrnBlkKwhChg1" localSheetId="21">#REF!</definedName>
    <definedName name="TrnBlkKwhChg1">#REF!</definedName>
    <definedName name="TrnBlkKwhChg2" localSheetId="21">#REF!</definedName>
    <definedName name="TrnBlkKwhChg2">#REF!</definedName>
    <definedName name="TrnBlkKwhChg3" localSheetId="21">#REF!</definedName>
    <definedName name="TrnBlkKwhChg3">#REF!</definedName>
    <definedName name="TrnBlkKwhChgT" localSheetId="21">#REF!</definedName>
    <definedName name="TrnBlkKwhChgT">#REF!</definedName>
    <definedName name="TRNCCHG" localSheetId="21">#REF!</definedName>
    <definedName name="TRNCCHG">#REF!</definedName>
    <definedName name="TrnCustChg" localSheetId="21">#REF!</definedName>
    <definedName name="TrnCustChg">#REF!</definedName>
    <definedName name="TRNDCHG1" localSheetId="21">#REF!</definedName>
    <definedName name="TRNDCHG1">#REF!</definedName>
    <definedName name="TRNDCHG2" localSheetId="21">#REF!</definedName>
    <definedName name="TRNDCHG2">#REF!</definedName>
    <definedName name="TrnDmdChg1" localSheetId="21">#REF!</definedName>
    <definedName name="TrnDmdChg1">#REF!</definedName>
    <definedName name="TrnDmdChg2" localSheetId="21">#REF!</definedName>
    <definedName name="TrnDmdChg2">#REF!</definedName>
    <definedName name="TRNECHG1" localSheetId="21">#REF!</definedName>
    <definedName name="TRNECHG1">#REF!</definedName>
    <definedName name="TRNECHGB1" localSheetId="21">#REF!</definedName>
    <definedName name="TRNECHGB1">#REF!</definedName>
    <definedName name="TRNECHGB2" localSheetId="21">#REF!</definedName>
    <definedName name="TRNECHGB2">#REF!</definedName>
    <definedName name="TRNECHGB3" localSheetId="21">#REF!</definedName>
    <definedName name="TRNECHGB3">#REF!</definedName>
    <definedName name="TrnMEChg" localSheetId="21">#REF!</definedName>
    <definedName name="TrnMEChg">#REF!</definedName>
    <definedName name="TRNMECHG1" localSheetId="21">#REF!</definedName>
    <definedName name="TRNMECHG1">#REF!</definedName>
    <definedName name="TRNMINDC" localSheetId="21">#REF!</definedName>
    <definedName name="TRNMINDC">#REF!</definedName>
    <definedName name="TrnMinDChg" localSheetId="21">#REF!</definedName>
    <definedName name="TrnMinDChg">#REF!</definedName>
    <definedName name="TRNMINEC" localSheetId="21">#REF!</definedName>
    <definedName name="TRNMINEC">#REF!</definedName>
    <definedName name="TrnMinEChg" localSheetId="21">#REF!</definedName>
    <definedName name="TrnMinEChg">#REF!</definedName>
    <definedName name="TrnOffPkKwh" localSheetId="21">#REF!</definedName>
    <definedName name="TrnOffPkKwh">#REF!</definedName>
    <definedName name="TRNOFKWH" localSheetId="21">#REF!</definedName>
    <definedName name="TRNOFKWH">#REF!</definedName>
    <definedName name="TrnOnPkKwh" localSheetId="21">#REF!</definedName>
    <definedName name="TrnOnPkKwh">#REF!</definedName>
    <definedName name="TRNOPKWH" localSheetId="21">#REF!</definedName>
    <definedName name="TRNOPKWH">#REF!</definedName>
    <definedName name="TRNP1EC" localSheetId="21">#REF!</definedName>
    <definedName name="TRNP1EC">#REF!</definedName>
    <definedName name="TRNP2EC" localSheetId="21">#REF!</definedName>
    <definedName name="TRNP2EC">#REF!</definedName>
    <definedName name="TRNP3EC" localSheetId="21">#REF!</definedName>
    <definedName name="TRNP3EC">#REF!</definedName>
    <definedName name="TRNP4EC" localSheetId="21">#REF!</definedName>
    <definedName name="TRNP4EC">#REF!</definedName>
    <definedName name="TRNP5EC" localSheetId="21">#REF!</definedName>
    <definedName name="TRNP5EC">#REF!</definedName>
    <definedName name="TrnPL1Chg" localSheetId="21">#REF!</definedName>
    <definedName name="TrnPL1Chg">#REF!</definedName>
    <definedName name="TrnPL2Chg" localSheetId="21">#REF!</definedName>
    <definedName name="TrnPL2Chg">#REF!</definedName>
    <definedName name="TrnPL3Chg" localSheetId="21">#REF!</definedName>
    <definedName name="TrnPL3Chg">#REF!</definedName>
    <definedName name="TrnPL4Chg" localSheetId="21">#REF!</definedName>
    <definedName name="TrnPL4Chg">#REF!</definedName>
    <definedName name="TrnPL5Chg" localSheetId="21">#REF!</definedName>
    <definedName name="TrnPL5Chg">#REF!</definedName>
    <definedName name="TRNRCHG" localSheetId="21">#REF!</definedName>
    <definedName name="TRNRCHG">#REF!</definedName>
    <definedName name="TrnReactiveChg" localSheetId="21">#REF!</definedName>
    <definedName name="TrnReactiveChg">#REF!</definedName>
    <definedName name="TRNSKWTOFPK" localSheetId="21">#REF!</definedName>
    <definedName name="TRNSKWTOFPK">#REF!</definedName>
    <definedName name="TRNSKWTONPK" localSheetId="21">#REF!</definedName>
    <definedName name="TRNSKWTONPK">#REF!</definedName>
    <definedName name="TRNXOFKVA" localSheetId="21">#REF!</definedName>
    <definedName name="TRNXOFKVA">#REF!</definedName>
    <definedName name="TRNXOFKW" localSheetId="21">#REF!</definedName>
    <definedName name="TRNXOFKW">#REF!</definedName>
    <definedName name="TrnXOfpKvaChg" localSheetId="21">#REF!</definedName>
    <definedName name="TrnXOfpKvaChg">#REF!</definedName>
    <definedName name="TrnXOfpKwChg" localSheetId="21">#REF!</definedName>
    <definedName name="TrnXOfpKwChg">#REF!</definedName>
    <definedName name="TTLBSRATETTL" localSheetId="21">#REF!</definedName>
    <definedName name="TTLBSRATETTL">#REF!</definedName>
    <definedName name="TTLCOGENKWH" localSheetId="21">#REF!</definedName>
    <definedName name="TTLCOGENKWH">#REF!</definedName>
    <definedName name="UNBUNDIND" localSheetId="21">#REF!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21">#REF!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1" l="1"/>
  <c r="G40" i="41" s="1"/>
  <c r="G41" i="41" s="1"/>
  <c r="G42" i="41" s="1"/>
  <c r="G43" i="41" s="1"/>
  <c r="G44" i="41" s="1"/>
  <c r="G45" i="41" s="1"/>
  <c r="G46" i="41" s="1"/>
  <c r="G47" i="41" s="1"/>
  <c r="G48" i="41" s="1"/>
  <c r="G49" i="41" s="1"/>
  <c r="G50" i="41" s="1"/>
  <c r="G21" i="41"/>
  <c r="G22" i="41" s="1"/>
  <c r="G23" i="41" s="1"/>
  <c r="G24" i="41" s="1"/>
  <c r="G25" i="41" s="1"/>
  <c r="G26" i="41" s="1"/>
  <c r="G27" i="41" s="1"/>
  <c r="G28" i="41" s="1"/>
  <c r="G29" i="41" s="1"/>
  <c r="G30" i="41" s="1"/>
  <c r="G31" i="41" s="1"/>
  <c r="G32" i="41" s="1"/>
  <c r="G36" i="41" s="1"/>
  <c r="G36" i="35"/>
  <c r="G21" i="35"/>
  <c r="G22" i="35" l="1"/>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B8" i="35" l="1"/>
  <c r="F23" i="44" l="1"/>
  <c r="D21" i="44"/>
  <c r="H21" i="44" s="1"/>
  <c r="L17" i="44"/>
  <c r="O17" i="44" s="1"/>
  <c r="H17" i="44"/>
  <c r="J15" i="44"/>
  <c r="J21" i="44" s="1"/>
  <c r="L21" i="44" s="1"/>
  <c r="D15" i="44"/>
  <c r="A14" i="44"/>
  <c r="A15" i="44" s="1"/>
  <c r="A17" i="44" s="1"/>
  <c r="A19" i="44" s="1"/>
  <c r="A20" i="44" s="1"/>
  <c r="A21" i="44" s="1"/>
  <c r="A23" i="44" s="1"/>
  <c r="O21" i="44" l="1"/>
  <c r="D23" i="44"/>
  <c r="H15" i="44"/>
  <c r="J23" i="44"/>
  <c r="L15" i="44"/>
  <c r="L23" i="44" s="1"/>
  <c r="O15" i="44" l="1"/>
  <c r="O23" i="44" s="1"/>
  <c r="G42" i="39" l="1"/>
  <c r="F42" i="39"/>
  <c r="D42" i="39"/>
  <c r="C42" i="39"/>
  <c r="F23" i="39"/>
  <c r="E23" i="39"/>
  <c r="D23" i="39"/>
  <c r="F42" i="38"/>
  <c r="D42" i="38"/>
  <c r="F23" i="38"/>
  <c r="D23" i="38"/>
  <c r="G44" i="5" l="1"/>
  <c r="G36" i="5"/>
  <c r="E36" i="5"/>
  <c r="E44" i="5"/>
  <c r="C23" i="39"/>
  <c r="E42" i="39"/>
  <c r="E42" i="38" l="1"/>
  <c r="C42" i="38"/>
  <c r="G42" i="38"/>
  <c r="E23" i="38"/>
  <c r="G23" i="38"/>
  <c r="C23" i="38"/>
  <c r="D23" i="40" l="1"/>
  <c r="D18" i="40"/>
  <c r="D20" i="40" l="1"/>
  <c r="B8" i="41" l="1"/>
  <c r="B17" i="41"/>
  <c r="C39" i="41"/>
  <c r="C40" i="41" s="1"/>
  <c r="C41" i="41" s="1"/>
  <c r="C42" i="41" s="1"/>
  <c r="C43" i="41" s="1"/>
  <c r="C44" i="41" s="1"/>
  <c r="C45" i="41" s="1"/>
  <c r="C46" i="41" s="1"/>
  <c r="C47" i="41" s="1"/>
  <c r="C48" i="41" s="1"/>
  <c r="C49" i="41" s="1"/>
  <c r="C50" i="41" s="1"/>
  <c r="C36" i="41"/>
  <c r="C21" i="41"/>
  <c r="C32" i="41" s="1"/>
  <c r="C39" i="35"/>
  <c r="C36" i="35"/>
  <c r="C21" i="35"/>
  <c r="C25" i="41" l="1"/>
  <c r="C29" i="41"/>
  <c r="C22" i="41"/>
  <c r="C26" i="41"/>
  <c r="C30" i="41"/>
  <c r="C23" i="41"/>
  <c r="C27" i="41"/>
  <c r="C31" i="41"/>
  <c r="C24" i="41"/>
  <c r="C28" i="41"/>
  <c r="B44" i="42" l="1"/>
  <c r="O27" i="42"/>
  <c r="N27" i="42"/>
  <c r="M27" i="42"/>
  <c r="L27" i="42"/>
  <c r="K27" i="42"/>
  <c r="J27" i="42"/>
  <c r="I27" i="42"/>
  <c r="B27" i="42"/>
  <c r="P24" i="42"/>
  <c r="P23" i="42"/>
  <c r="P19" i="42"/>
  <c r="Q18" i="42"/>
  <c r="P17" i="42"/>
  <c r="P16" i="42"/>
  <c r="Q15" i="42"/>
  <c r="Q14" i="42"/>
  <c r="P13" i="42"/>
  <c r="P27" i="42" l="1"/>
  <c r="Q27" i="42"/>
  <c r="E44" i="43"/>
  <c r="D43" i="43"/>
  <c r="C43" i="43"/>
  <c r="E42" i="43"/>
  <c r="E41" i="43"/>
  <c r="E43" i="43" l="1"/>
  <c r="E45" i="43" s="1"/>
  <c r="I43" i="5" l="1"/>
  <c r="I25" i="5"/>
  <c r="G87" i="2" s="1"/>
  <c r="I18" i="5"/>
  <c r="G130" i="2"/>
  <c r="G142" i="2"/>
  <c r="H216" i="2"/>
  <c r="L214" i="2"/>
  <c r="C40" i="35"/>
  <c r="C41" i="35" s="1"/>
  <c r="C42" i="35" s="1"/>
  <c r="C43" i="35" s="1"/>
  <c r="C44" i="35" s="1"/>
  <c r="C45" i="35" s="1"/>
  <c r="C46" i="35" s="1"/>
  <c r="C47" i="35" s="1"/>
  <c r="C48" i="35" s="1"/>
  <c r="C49" i="35" s="1"/>
  <c r="C50" i="35" s="1"/>
  <c r="I41" i="31"/>
  <c r="I40" i="31" s="1"/>
  <c r="G22" i="39"/>
  <c r="G21" i="39"/>
  <c r="G20" i="39"/>
  <c r="G19" i="39"/>
  <c r="G18" i="39"/>
  <c r="G17" i="39"/>
  <c r="G16" i="39"/>
  <c r="G15" i="39"/>
  <c r="G14" i="39"/>
  <c r="G13" i="39"/>
  <c r="G12" i="39"/>
  <c r="I52" i="5"/>
  <c r="L90" i="2" s="1"/>
  <c r="E51" i="5"/>
  <c r="H22" i="41"/>
  <c r="H23" i="41" s="1"/>
  <c r="H24" i="41" s="1"/>
  <c r="H25" i="41" s="1"/>
  <c r="H26" i="41" s="1"/>
  <c r="H27" i="41" s="1"/>
  <c r="H28" i="41" s="1"/>
  <c r="H29" i="41" s="1"/>
  <c r="H30" i="41" s="1"/>
  <c r="H31" i="41" s="1"/>
  <c r="H32" i="41" s="1"/>
  <c r="G10" i="41"/>
  <c r="C10" i="41"/>
  <c r="L229" i="2"/>
  <c r="L228" i="2"/>
  <c r="E74" i="39"/>
  <c r="E76" i="39" s="1"/>
  <c r="G74" i="2"/>
  <c r="G72" i="2"/>
  <c r="G66" i="2"/>
  <c r="G64" i="2"/>
  <c r="N26" i="20"/>
  <c r="M26" i="20"/>
  <c r="G24" i="2" s="1"/>
  <c r="L24" i="2" s="1"/>
  <c r="J254" i="2"/>
  <c r="H22" i="35"/>
  <c r="H23" i="35" s="1"/>
  <c r="H24" i="35" s="1"/>
  <c r="H25" i="35" s="1"/>
  <c r="H26" i="35" s="1"/>
  <c r="H27" i="35" s="1"/>
  <c r="H28" i="35" s="1"/>
  <c r="H29" i="35" s="1"/>
  <c r="H30" i="35" s="1"/>
  <c r="H31" i="35" s="1"/>
  <c r="H32" i="35" s="1"/>
  <c r="G10" i="35"/>
  <c r="C10" i="35"/>
  <c r="F62" i="38"/>
  <c r="E62" i="38"/>
  <c r="L205" i="2" s="1"/>
  <c r="D62" i="38"/>
  <c r="C62" i="38"/>
  <c r="L206" i="2" s="1"/>
  <c r="A7" i="40"/>
  <c r="A4" i="40"/>
  <c r="A3" i="40"/>
  <c r="A12" i="40"/>
  <c r="A15" i="40" s="1"/>
  <c r="A16" i="40" s="1"/>
  <c r="A17" i="40" s="1"/>
  <c r="A18" i="40" s="1"/>
  <c r="A19" i="40" s="1"/>
  <c r="A20" i="40" s="1"/>
  <c r="A21" i="40" s="1"/>
  <c r="A22" i="40" s="1"/>
  <c r="A23" i="40" s="1"/>
  <c r="A26" i="40" s="1"/>
  <c r="A27" i="40" s="1"/>
  <c r="A28" i="40" s="1"/>
  <c r="A29" i="40" s="1"/>
  <c r="A30"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9" i="38" s="1"/>
  <c r="A30" i="38" s="1"/>
  <c r="A31" i="38" s="1"/>
  <c r="A32" i="38" s="1"/>
  <c r="A33" i="38" s="1"/>
  <c r="A34" i="38" s="1"/>
  <c r="A35" i="38" s="1"/>
  <c r="A36" i="38" s="1"/>
  <c r="A37" i="38" s="1"/>
  <c r="A38" i="38" s="1"/>
  <c r="A39" i="38" s="1"/>
  <c r="A40" i="38" s="1"/>
  <c r="A41" i="38" s="1"/>
  <c r="A42" i="38" s="1"/>
  <c r="A2" i="38"/>
  <c r="E40" i="31"/>
  <c r="E23" i="11" s="1"/>
  <c r="G23" i="1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G10" i="5"/>
  <c r="E10" i="5"/>
  <c r="O8" i="13"/>
  <c r="C9" i="7"/>
  <c r="D12" i="9"/>
  <c r="I65" i="6"/>
  <c r="K65" i="6" s="1"/>
  <c r="E65" i="6" s="1"/>
  <c r="E69" i="6"/>
  <c r="I74" i="6"/>
  <c r="K74" i="6" s="1"/>
  <c r="J76" i="6"/>
  <c r="K76" i="6" s="1"/>
  <c r="E76" i="6" s="1"/>
  <c r="J51" i="6"/>
  <c r="K51" i="6" s="1"/>
  <c r="E51" i="6" s="1"/>
  <c r="J53" i="6"/>
  <c r="K53" i="6" s="1"/>
  <c r="E53" i="6" s="1"/>
  <c r="I50" i="6"/>
  <c r="K50" i="6" s="1"/>
  <c r="E50" i="6" s="1"/>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G48" i="20" s="1"/>
  <c r="F7" i="2"/>
  <c r="F53" i="2" s="1"/>
  <c r="F117" i="2" s="1"/>
  <c r="F196" i="2" s="1"/>
  <c r="F260" i="2" s="1"/>
  <c r="C112" i="34"/>
  <c r="J24" i="34"/>
  <c r="K72" i="6"/>
  <c r="E198" i="34"/>
  <c r="E186" i="34"/>
  <c r="G79" i="6"/>
  <c r="G30" i="6" s="1"/>
  <c r="K71" i="6"/>
  <c r="K70" i="6"/>
  <c r="E70" i="6" s="1"/>
  <c r="K69" i="6"/>
  <c r="K68" i="6"/>
  <c r="E68" i="6" s="1"/>
  <c r="K67" i="6"/>
  <c r="E67" i="6" s="1"/>
  <c r="K66" i="6"/>
  <c r="E66" i="6"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4" i="2" s="1"/>
  <c r="E51" i="11"/>
  <c r="E53" i="11" s="1"/>
  <c r="E55" i="11" s="1"/>
  <c r="I51" i="11"/>
  <c r="E66" i="11"/>
  <c r="E56" i="11"/>
  <c r="I66" i="11"/>
  <c r="I56" i="11"/>
  <c r="C50" i="11"/>
  <c r="M41" i="11"/>
  <c r="C31" i="34"/>
  <c r="C32" i="34" s="1"/>
  <c r="C37" i="34"/>
  <c r="C38" i="34" s="1"/>
  <c r="C43" i="34"/>
  <c r="C44" i="34" s="1"/>
  <c r="C49" i="34"/>
  <c r="E31" i="34"/>
  <c r="E32" i="34" s="1"/>
  <c r="E37" i="34"/>
  <c r="E38" i="34" s="1"/>
  <c r="E43" i="34"/>
  <c r="E44" i="34" s="1"/>
  <c r="E49" i="34"/>
  <c r="F31" i="34"/>
  <c r="F32" i="34" s="1"/>
  <c r="F37" i="34"/>
  <c r="F38" i="34" s="1"/>
  <c r="F43" i="34"/>
  <c r="F44" i="34" s="1"/>
  <c r="F49" i="34"/>
  <c r="F50" i="34" s="1"/>
  <c r="G31" i="34"/>
  <c r="G32" i="34" s="1"/>
  <c r="G37" i="34"/>
  <c r="G38" i="34" s="1"/>
  <c r="G43" i="34"/>
  <c r="G44" i="34" s="1"/>
  <c r="G49" i="34"/>
  <c r="G50" i="34" s="1"/>
  <c r="H31" i="34"/>
  <c r="H32" i="34" s="1"/>
  <c r="H37" i="34"/>
  <c r="H38" i="34" s="1"/>
  <c r="H43" i="34"/>
  <c r="H44" i="34" s="1"/>
  <c r="H49" i="34"/>
  <c r="H50" i="34" s="1"/>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G55" i="6"/>
  <c r="G29" i="6" s="1"/>
  <c r="C21" i="7"/>
  <c r="C23" i="7" s="1"/>
  <c r="G110" i="2" s="1"/>
  <c r="L110" i="2" s="1"/>
  <c r="O17" i="21"/>
  <c r="O22" i="21"/>
  <c r="O27" i="21"/>
  <c r="A10" i="34"/>
  <c r="A11" i="34" s="1"/>
  <c r="A12" i="34" s="1"/>
  <c r="A13" i="34" s="1"/>
  <c r="A14" i="34" s="1"/>
  <c r="A19" i="9"/>
  <c r="A20" i="9" s="1"/>
  <c r="A21" i="9" s="1"/>
  <c r="A24" i="9" s="1"/>
  <c r="A25" i="9" s="1"/>
  <c r="A26" i="9" s="1"/>
  <c r="A27" i="9" s="1"/>
  <c r="A28" i="9" s="1"/>
  <c r="A29" i="9" s="1"/>
  <c r="A30" i="9" s="1"/>
  <c r="A31" i="9" s="1"/>
  <c r="A32" i="9" s="1"/>
  <c r="A33" i="9" s="1"/>
  <c r="F118" i="34"/>
  <c r="F119" i="34" s="1"/>
  <c r="F124" i="34"/>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24" i="34"/>
  <c r="G125" i="34" s="1"/>
  <c r="G130" i="34"/>
  <c r="G136" i="34"/>
  <c r="G137" i="34" s="1"/>
  <c r="H118" i="34"/>
  <c r="H124" i="34"/>
  <c r="H125" i="34" s="1"/>
  <c r="H130" i="34"/>
  <c r="H131" i="34" s="1"/>
  <c r="H136" i="34"/>
  <c r="H137" i="34" s="1"/>
  <c r="I118" i="34"/>
  <c r="I119" i="34" s="1"/>
  <c r="I124" i="34"/>
  <c r="I130" i="34"/>
  <c r="I131" i="34" s="1"/>
  <c r="I136" i="34"/>
  <c r="I137" i="34" s="1"/>
  <c r="C118" i="34"/>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5" i="2"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G185" i="2"/>
  <c r="L185" i="2" s="1"/>
  <c r="A14" i="31"/>
  <c r="A22" i="31" s="1"/>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J13" i="8"/>
  <c r="A15" i="8"/>
  <c r="A17" i="8" s="1"/>
  <c r="J15" i="8"/>
  <c r="A27" i="8"/>
  <c r="A29" i="8" s="1"/>
  <c r="A31" i="8" s="1"/>
  <c r="E15" i="2" s="1"/>
  <c r="J17" i="8"/>
  <c r="J19" i="8"/>
  <c r="J29" i="8"/>
  <c r="A15" i="7"/>
  <c r="A17" i="7" s="1"/>
  <c r="A18" i="7" s="1"/>
  <c r="A19" i="7" s="1"/>
  <c r="A21" i="7" s="1"/>
  <c r="B23" i="7" s="1"/>
  <c r="A17" i="6"/>
  <c r="E101" i="2" s="1"/>
  <c r="A17" i="5"/>
  <c r="A18" i="5" s="1"/>
  <c r="A19" i="5"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B15" i="2"/>
  <c r="B17" i="2" s="1"/>
  <c r="B18" i="2" s="1"/>
  <c r="B24" i="2" s="1"/>
  <c r="B26" i="2" s="1"/>
  <c r="B27" i="2" s="1"/>
  <c r="E25" i="34"/>
  <c r="E14" i="34"/>
  <c r="E63" i="34" s="1"/>
  <c r="J12" i="34"/>
  <c r="C25" i="34"/>
  <c r="C198" i="34"/>
  <c r="L87" i="13"/>
  <c r="I42" i="6"/>
  <c r="K42" i="6" s="1"/>
  <c r="E42" i="6" s="1"/>
  <c r="J78" i="6"/>
  <c r="K78" i="6" s="1"/>
  <c r="I73" i="6"/>
  <c r="K73" i="6" s="1"/>
  <c r="I48" i="6"/>
  <c r="K48" i="6" s="1"/>
  <c r="E48" i="6" s="1"/>
  <c r="J77" i="6"/>
  <c r="K77" i="6" s="1"/>
  <c r="E77" i="6" s="1"/>
  <c r="E72" i="6"/>
  <c r="I41" i="6"/>
  <c r="K41" i="6" s="1"/>
  <c r="E41" i="6" s="1"/>
  <c r="J54" i="6"/>
  <c r="K54" i="6" s="1"/>
  <c r="J75" i="6"/>
  <c r="I43" i="6"/>
  <c r="K43" i="6" s="1"/>
  <c r="E43" i="6" s="1"/>
  <c r="I49" i="6"/>
  <c r="K49" i="6" s="1"/>
  <c r="E49" i="6" s="1"/>
  <c r="J52" i="6"/>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I98" i="20"/>
  <c r="E101" i="20" s="1"/>
  <c r="M100" i="13"/>
  <c r="M101" i="13"/>
  <c r="O100" i="13"/>
  <c r="O101" i="13"/>
  <c r="N90" i="20"/>
  <c r="G51" i="5"/>
  <c r="I50" i="5"/>
  <c r="I49" i="5"/>
  <c r="C22" i="35"/>
  <c r="L216" i="2"/>
  <c r="I17" i="6"/>
  <c r="G101" i="2" s="1"/>
  <c r="H213" i="2"/>
  <c r="F217" i="2"/>
  <c r="G11" i="39"/>
  <c r="C64" i="38" l="1"/>
  <c r="G96" i="36"/>
  <c r="G85" i="36"/>
  <c r="F101" i="20"/>
  <c r="D102" i="20" s="1"/>
  <c r="E102" i="20" s="1"/>
  <c r="F102" i="20" s="1"/>
  <c r="D103" i="20" s="1"/>
  <c r="K197" i="36"/>
  <c r="G144" i="36"/>
  <c r="O26" i="20"/>
  <c r="L36" i="2" s="1"/>
  <c r="F100" i="13"/>
  <c r="G100" i="13" s="1"/>
  <c r="E64" i="2"/>
  <c r="E67" i="2"/>
  <c r="G61" i="36"/>
  <c r="G19" i="36"/>
  <c r="G35" i="36"/>
  <c r="G65" i="37"/>
  <c r="G166" i="34"/>
  <c r="I184" i="36"/>
  <c r="G76" i="36"/>
  <c r="G19" i="37"/>
  <c r="G194" i="36"/>
  <c r="G97" i="37"/>
  <c r="G101" i="37"/>
  <c r="F87" i="38"/>
  <c r="G97" i="2" s="1"/>
  <c r="G77" i="36"/>
  <c r="G30" i="36"/>
  <c r="G46" i="36"/>
  <c r="G68" i="36"/>
  <c r="G49" i="37"/>
  <c r="G93" i="36"/>
  <c r="G117" i="36"/>
  <c r="G133" i="36"/>
  <c r="G130" i="36"/>
  <c r="G53" i="37"/>
  <c r="G77" i="37"/>
  <c r="G85" i="37"/>
  <c r="G93" i="37"/>
  <c r="G31" i="36"/>
  <c r="G39" i="36"/>
  <c r="G87" i="37"/>
  <c r="G95" i="37"/>
  <c r="G54" i="36"/>
  <c r="G171" i="36"/>
  <c r="G17" i="37"/>
  <c r="G106" i="36"/>
  <c r="G125" i="36"/>
  <c r="G73" i="37"/>
  <c r="G30" i="37"/>
  <c r="D72" i="36"/>
  <c r="G78" i="36"/>
  <c r="A183" i="36"/>
  <c r="D35" i="5" s="1"/>
  <c r="G39" i="37"/>
  <c r="G74" i="37"/>
  <c r="L227" i="2"/>
  <c r="G234" i="2" s="1"/>
  <c r="J234" i="2" s="1"/>
  <c r="E22" i="20" s="1"/>
  <c r="G49" i="36"/>
  <c r="G65" i="36"/>
  <c r="G21" i="36"/>
  <c r="A81" i="13"/>
  <c r="J197" i="36"/>
  <c r="G143" i="36"/>
  <c r="F48" i="13"/>
  <c r="E23" i="36"/>
  <c r="G51" i="36"/>
  <c r="C197" i="36"/>
  <c r="J193" i="34"/>
  <c r="G27" i="37"/>
  <c r="I79" i="34"/>
  <c r="G80" i="36"/>
  <c r="G26" i="37"/>
  <c r="G61" i="37"/>
  <c r="G107" i="37"/>
  <c r="G79" i="36"/>
  <c r="G95" i="36"/>
  <c r="G103" i="36"/>
  <c r="G127" i="36"/>
  <c r="G135" i="36"/>
  <c r="G146" i="36"/>
  <c r="G154" i="36"/>
  <c r="G98" i="37"/>
  <c r="G25" i="37"/>
  <c r="G32" i="36"/>
  <c r="G40" i="36"/>
  <c r="G108" i="36"/>
  <c r="G116" i="36"/>
  <c r="G124" i="36"/>
  <c r="G132" i="36"/>
  <c r="G86" i="37"/>
  <c r="H188" i="34"/>
  <c r="H213" i="34" s="1"/>
  <c r="H216" i="34" s="1"/>
  <c r="G42" i="36"/>
  <c r="E71" i="36"/>
  <c r="G110" i="36"/>
  <c r="G126" i="36"/>
  <c r="G142" i="36"/>
  <c r="G153" i="36"/>
  <c r="G161" i="36"/>
  <c r="G173" i="36"/>
  <c r="G24" i="37"/>
  <c r="G59" i="37"/>
  <c r="G67" i="37"/>
  <c r="G28" i="36"/>
  <c r="G53" i="36"/>
  <c r="G100" i="36"/>
  <c r="G140" i="36"/>
  <c r="G36" i="37"/>
  <c r="G68" i="37"/>
  <c r="J110" i="37"/>
  <c r="G50" i="36"/>
  <c r="G63" i="36"/>
  <c r="G89" i="36"/>
  <c r="G97" i="36"/>
  <c r="G121" i="36"/>
  <c r="G129" i="36"/>
  <c r="G137" i="36"/>
  <c r="G148" i="36"/>
  <c r="G156" i="36"/>
  <c r="G164" i="36"/>
  <c r="G195" i="36"/>
  <c r="F79" i="34"/>
  <c r="D184" i="36"/>
  <c r="G83" i="36"/>
  <c r="G150" i="36"/>
  <c r="D109" i="37"/>
  <c r="G35" i="37"/>
  <c r="G51" i="37"/>
  <c r="G103" i="37"/>
  <c r="C79" i="34"/>
  <c r="K72" i="36"/>
  <c r="G44" i="36"/>
  <c r="G67" i="36"/>
  <c r="F53" i="34"/>
  <c r="F203" i="34" s="1"/>
  <c r="G31" i="6"/>
  <c r="G106" i="2" s="1"/>
  <c r="L106" i="2" s="1"/>
  <c r="F23" i="36"/>
  <c r="G160" i="36"/>
  <c r="G40" i="37"/>
  <c r="H52" i="34"/>
  <c r="H64" i="34" s="1"/>
  <c r="G29" i="37"/>
  <c r="G42" i="37"/>
  <c r="A82" i="20"/>
  <c r="G90" i="37"/>
  <c r="B23" i="40"/>
  <c r="G88" i="36"/>
  <c r="G104" i="36"/>
  <c r="G112" i="36"/>
  <c r="G115" i="36"/>
  <c r="G120" i="36"/>
  <c r="G128" i="36"/>
  <c r="G147" i="36"/>
  <c r="G170" i="36"/>
  <c r="G174" i="36"/>
  <c r="G21" i="37"/>
  <c r="G38" i="37"/>
  <c r="G41" i="37"/>
  <c r="G57" i="37"/>
  <c r="G81" i="37"/>
  <c r="G92" i="37"/>
  <c r="H166" i="34"/>
  <c r="O33" i="21"/>
  <c r="G187" i="2" s="1"/>
  <c r="J25" i="34"/>
  <c r="I53" i="34"/>
  <c r="I203" i="34" s="1"/>
  <c r="G53" i="34"/>
  <c r="G203" i="34" s="1"/>
  <c r="G29" i="36"/>
  <c r="G56" i="36"/>
  <c r="I177" i="36"/>
  <c r="I183" i="36" s="1"/>
  <c r="C71" i="36"/>
  <c r="H79" i="34"/>
  <c r="K71" i="36"/>
  <c r="C72" i="36"/>
  <c r="G87" i="36"/>
  <c r="G109" i="36"/>
  <c r="G152" i="36"/>
  <c r="G157" i="36"/>
  <c r="G165" i="36"/>
  <c r="G43" i="37"/>
  <c r="G48" i="37"/>
  <c r="G78" i="37"/>
  <c r="G83" i="37"/>
  <c r="G102" i="37"/>
  <c r="J194" i="34"/>
  <c r="C109" i="37"/>
  <c r="J177" i="36"/>
  <c r="J183" i="36" s="1"/>
  <c r="G84" i="36"/>
  <c r="G167" i="36"/>
  <c r="G57" i="36"/>
  <c r="E18" i="2"/>
  <c r="J101" i="34"/>
  <c r="J150" i="34" s="1"/>
  <c r="G33" i="36"/>
  <c r="J72" i="36"/>
  <c r="G36" i="36"/>
  <c r="G41" i="36"/>
  <c r="G47" i="36"/>
  <c r="G60" i="36"/>
  <c r="G86" i="36"/>
  <c r="G151" i="36"/>
  <c r="F177" i="36"/>
  <c r="F183" i="36" s="1"/>
  <c r="G28" i="37"/>
  <c r="G31" i="37"/>
  <c r="G47" i="37"/>
  <c r="G96" i="37"/>
  <c r="E28" i="2"/>
  <c r="D30" i="2"/>
  <c r="B28" i="2"/>
  <c r="B30" i="2" s="1"/>
  <c r="B31" i="2" s="1"/>
  <c r="D33" i="2" s="1"/>
  <c r="E229" i="2"/>
  <c r="E228" i="2"/>
  <c r="E226" i="2"/>
  <c r="E227" i="2"/>
  <c r="A16" i="34"/>
  <c r="B13" i="34" s="1"/>
  <c r="B63" i="34"/>
  <c r="E95" i="2"/>
  <c r="A84" i="38"/>
  <c r="A87" i="38" s="1"/>
  <c r="J31" i="34"/>
  <c r="J137" i="34"/>
  <c r="G172" i="36"/>
  <c r="G17" i="36"/>
  <c r="E61" i="11"/>
  <c r="E63" i="11" s="1"/>
  <c r="E65" i="11" s="1"/>
  <c r="J197" i="34"/>
  <c r="G101" i="36"/>
  <c r="G52" i="37"/>
  <c r="G66" i="37"/>
  <c r="G69" i="37"/>
  <c r="J37" i="34"/>
  <c r="J136" i="34"/>
  <c r="G90" i="36"/>
  <c r="G122" i="36"/>
  <c r="G163" i="36"/>
  <c r="G169" i="36"/>
  <c r="G22" i="37"/>
  <c r="G60" i="37"/>
  <c r="G71" i="37"/>
  <c r="G79" i="37"/>
  <c r="G82" i="37"/>
  <c r="G100" i="37"/>
  <c r="G104" i="37"/>
  <c r="D177" i="36"/>
  <c r="D183" i="36" s="1"/>
  <c r="I52" i="34"/>
  <c r="G52" i="34"/>
  <c r="G57" i="34" s="1"/>
  <c r="G60" i="34" s="1"/>
  <c r="G65" i="34" s="1"/>
  <c r="E133" i="2"/>
  <c r="J198" i="34"/>
  <c r="D71" i="36"/>
  <c r="G81" i="36"/>
  <c r="K109" i="37"/>
  <c r="G37" i="37"/>
  <c r="G76" i="37"/>
  <c r="E177" i="36"/>
  <c r="E183" i="36" s="1"/>
  <c r="G105" i="36"/>
  <c r="D197" i="36"/>
  <c r="G79" i="34"/>
  <c r="K184" i="36"/>
  <c r="G134" i="36"/>
  <c r="G159" i="36"/>
  <c r="G50" i="37"/>
  <c r="G75" i="37"/>
  <c r="C110" i="37"/>
  <c r="G34" i="36"/>
  <c r="J14" i="34"/>
  <c r="J63" i="34" s="1"/>
  <c r="C166" i="34"/>
  <c r="G37" i="36"/>
  <c r="G62" i="36"/>
  <c r="G91" i="36"/>
  <c r="G107" i="36"/>
  <c r="G139" i="36"/>
  <c r="I197" i="36"/>
  <c r="G44" i="37"/>
  <c r="G55" i="37"/>
  <c r="I110" i="37"/>
  <c r="J55" i="6"/>
  <c r="J29" i="6" s="1"/>
  <c r="K52" i="6"/>
  <c r="G131" i="34"/>
  <c r="J131" i="34" s="1"/>
  <c r="J130" i="34"/>
  <c r="A19" i="6"/>
  <c r="G20" i="37"/>
  <c r="F166" i="34"/>
  <c r="F125" i="34"/>
  <c r="F140" i="34" s="1"/>
  <c r="F139" i="34"/>
  <c r="E50" i="34"/>
  <c r="E53" i="34" s="1"/>
  <c r="E203" i="34" s="1"/>
  <c r="E52" i="34"/>
  <c r="C50" i="34"/>
  <c r="C53" i="34" s="1"/>
  <c r="J49" i="34"/>
  <c r="C52" i="34"/>
  <c r="C57" i="34" s="1"/>
  <c r="C60" i="34" s="1"/>
  <c r="C65" i="34" s="1"/>
  <c r="I109" i="37"/>
  <c r="J109" i="37"/>
  <c r="E163" i="2"/>
  <c r="A23" i="31"/>
  <c r="I166" i="34"/>
  <c r="E125" i="34"/>
  <c r="E140" i="34" s="1"/>
  <c r="E139" i="34"/>
  <c r="J124" i="34"/>
  <c r="F188" i="34"/>
  <c r="F213" i="34" s="1"/>
  <c r="F216" i="34" s="1"/>
  <c r="F218" i="34" s="1"/>
  <c r="J44" i="34"/>
  <c r="F80" i="38"/>
  <c r="G95" i="2" s="1"/>
  <c r="L95" i="2" s="1"/>
  <c r="I125" i="34"/>
  <c r="I139" i="34"/>
  <c r="K75" i="6"/>
  <c r="E75" i="6" s="1"/>
  <c r="J79" i="6"/>
  <c r="J30" i="6" s="1"/>
  <c r="G139" i="34"/>
  <c r="G119" i="34"/>
  <c r="F71" i="36"/>
  <c r="G66" i="36"/>
  <c r="K177" i="36"/>
  <c r="K183" i="36" s="1"/>
  <c r="J118" i="34"/>
  <c r="C177" i="36"/>
  <c r="C183" i="36" s="1"/>
  <c r="A29" i="39"/>
  <c r="A30" i="39" s="1"/>
  <c r="A31" i="39" s="1"/>
  <c r="A32" i="39" s="1"/>
  <c r="A33" i="39" s="1"/>
  <c r="A34" i="39" s="1"/>
  <c r="A35" i="39" s="1"/>
  <c r="A36" i="39" s="1"/>
  <c r="A37" i="39" s="1"/>
  <c r="A38" i="39" s="1"/>
  <c r="A39" i="39" s="1"/>
  <c r="A40" i="39" s="1"/>
  <c r="A41" i="39" s="1"/>
  <c r="A42" i="39" s="1"/>
  <c r="A48" i="39" s="1"/>
  <c r="A49" i="39" s="1"/>
  <c r="F52" i="34"/>
  <c r="C119" i="34"/>
  <c r="C140" i="34" s="1"/>
  <c r="E65" i="2"/>
  <c r="A23" i="7"/>
  <c r="E110" i="2" s="1"/>
  <c r="E93" i="2"/>
  <c r="I188" i="34"/>
  <c r="I213" i="34" s="1"/>
  <c r="I216" i="34" s="1"/>
  <c r="J183" i="34"/>
  <c r="J188" i="34" s="1"/>
  <c r="J213" i="34" s="1"/>
  <c r="C188" i="34"/>
  <c r="C213" i="34" s="1"/>
  <c r="C216" i="34" s="1"/>
  <c r="C218" i="34" s="1"/>
  <c r="I199" i="34"/>
  <c r="G99" i="36"/>
  <c r="G181" i="36"/>
  <c r="G46" i="37"/>
  <c r="G106" i="37"/>
  <c r="G48" i="36"/>
  <c r="G58" i="37"/>
  <c r="B74" i="39"/>
  <c r="J43" i="34"/>
  <c r="C139" i="34"/>
  <c r="E109" i="37"/>
  <c r="E66" i="2"/>
  <c r="G55" i="36"/>
  <c r="G58" i="36"/>
  <c r="G82" i="36"/>
  <c r="G113" i="36"/>
  <c r="G33" i="37"/>
  <c r="G63" i="37"/>
  <c r="G70" i="37"/>
  <c r="D110" i="37"/>
  <c r="G88" i="37"/>
  <c r="G99" i="37"/>
  <c r="E166" i="34"/>
  <c r="J196" i="34"/>
  <c r="H199" i="34"/>
  <c r="J71" i="36"/>
  <c r="I72" i="36"/>
  <c r="G45" i="36"/>
  <c r="G52" i="36"/>
  <c r="G59" i="36"/>
  <c r="J184" i="36"/>
  <c r="G111" i="36"/>
  <c r="G34" i="37"/>
  <c r="G56" i="37"/>
  <c r="G64" i="37"/>
  <c r="G80" i="37"/>
  <c r="E79" i="34"/>
  <c r="G199" i="34"/>
  <c r="E199" i="34"/>
  <c r="H53" i="34"/>
  <c r="H203" i="34" s="1"/>
  <c r="G64" i="36"/>
  <c r="G94" i="36"/>
  <c r="G98" i="36"/>
  <c r="G102" i="36"/>
  <c r="C184" i="36"/>
  <c r="G118" i="36"/>
  <c r="G119" i="36"/>
  <c r="G123" i="36"/>
  <c r="G131" i="36"/>
  <c r="G138" i="36"/>
  <c r="G141" i="36"/>
  <c r="G158" i="36"/>
  <c r="G166" i="36"/>
  <c r="G180" i="36"/>
  <c r="G23" i="37"/>
  <c r="G45" i="37"/>
  <c r="G54" i="37"/>
  <c r="G62" i="37"/>
  <c r="G72" i="37"/>
  <c r="K110" i="37"/>
  <c r="G84" i="37"/>
  <c r="P140" i="13"/>
  <c r="P130" i="13"/>
  <c r="H214" i="2"/>
  <c r="H217" i="2" s="1"/>
  <c r="P110" i="13"/>
  <c r="H33" i="39"/>
  <c r="H37" i="39"/>
  <c r="G217" i="2"/>
  <c r="P115" i="13"/>
  <c r="P129" i="13"/>
  <c r="M89" i="13"/>
  <c r="N22" i="13" s="1"/>
  <c r="M88" i="13"/>
  <c r="N21" i="13" s="1"/>
  <c r="N89" i="13"/>
  <c r="O22" i="13" s="1"/>
  <c r="N88" i="13"/>
  <c r="I53" i="11"/>
  <c r="I55" i="11" s="1"/>
  <c r="I61" i="11"/>
  <c r="I63" i="11" s="1"/>
  <c r="I65" i="11" s="1"/>
  <c r="C32" i="35"/>
  <c r="C24" i="35"/>
  <c r="C31" i="35"/>
  <c r="C23" i="35"/>
  <c r="C30" i="35"/>
  <c r="C28" i="35"/>
  <c r="C27" i="35"/>
  <c r="C29" i="35"/>
  <c r="C33" i="40"/>
  <c r="A33" i="40"/>
  <c r="E146" i="2" s="1"/>
  <c r="A20" i="5"/>
  <c r="D20" i="5"/>
  <c r="E72" i="2"/>
  <c r="E74" i="2"/>
  <c r="E75" i="2"/>
  <c r="E71" i="2"/>
  <c r="A49" i="38"/>
  <c r="A50" i="38" s="1"/>
  <c r="A51" i="38" s="1"/>
  <c r="A52" i="38" s="1"/>
  <c r="A53" i="38" s="1"/>
  <c r="A54" i="38" s="1"/>
  <c r="A55" i="38" s="1"/>
  <c r="A56" i="38" s="1"/>
  <c r="A57" i="38" s="1"/>
  <c r="A58" i="38" s="1"/>
  <c r="A59" i="38" s="1"/>
  <c r="A60" i="38" s="1"/>
  <c r="A61" i="38" s="1"/>
  <c r="A62" i="38" s="1"/>
  <c r="E73" i="2"/>
  <c r="J32" i="34"/>
  <c r="C25" i="35"/>
  <c r="C26" i="35"/>
  <c r="I51" i="5"/>
  <c r="G90" i="2" s="1"/>
  <c r="E131" i="2"/>
  <c r="A36" i="9"/>
  <c r="A37" i="9" s="1"/>
  <c r="A38" i="9" s="1"/>
  <c r="A39" i="9" s="1"/>
  <c r="A40" i="9" s="1"/>
  <c r="A41" i="9" s="1"/>
  <c r="A44" i="9" s="1"/>
  <c r="J38" i="34"/>
  <c r="E161" i="2"/>
  <c r="A48" i="11"/>
  <c r="E165" i="2"/>
  <c r="J195" i="34"/>
  <c r="C199" i="34"/>
  <c r="H119" i="34"/>
  <c r="H139" i="34"/>
  <c r="J112" i="34"/>
  <c r="F29" i="10"/>
  <c r="F342" i="2" s="1"/>
  <c r="G169" i="2" s="1"/>
  <c r="G173" i="2" s="1"/>
  <c r="G179" i="2" s="1"/>
  <c r="C30" i="40"/>
  <c r="E150" i="34"/>
  <c r="G188" i="34"/>
  <c r="G213" i="34" s="1"/>
  <c r="F199" i="34"/>
  <c r="E188" i="34"/>
  <c r="E213" i="34" s="1"/>
  <c r="P108" i="13"/>
  <c r="P148" i="13"/>
  <c r="G20" i="36"/>
  <c r="G43" i="36"/>
  <c r="G92" i="36"/>
  <c r="G114" i="36"/>
  <c r="G136" i="36"/>
  <c r="E55" i="39"/>
  <c r="L223" i="2" s="1"/>
  <c r="I71" i="36"/>
  <c r="G38" i="36"/>
  <c r="S27" i="21"/>
  <c r="G18" i="37"/>
  <c r="G91" i="37"/>
  <c r="G94" i="37"/>
  <c r="F109" i="37"/>
  <c r="G105" i="37"/>
  <c r="D30" i="40"/>
  <c r="D33" i="40" s="1"/>
  <c r="G146" i="2" s="1"/>
  <c r="G145" i="36"/>
  <c r="G149" i="36"/>
  <c r="G155" i="36"/>
  <c r="G162" i="36"/>
  <c r="G168" i="36"/>
  <c r="G32" i="37"/>
  <c r="G89" i="37"/>
  <c r="H31" i="39"/>
  <c r="H35" i="39"/>
  <c r="H39" i="39"/>
  <c r="S17" i="21"/>
  <c r="S22" i="21"/>
  <c r="P116" i="13"/>
  <c r="P118" i="13"/>
  <c r="P122" i="13"/>
  <c r="P124" i="13"/>
  <c r="P146" i="13"/>
  <c r="P149" i="13"/>
  <c r="P151" i="13"/>
  <c r="P153" i="13"/>
  <c r="P155" i="13"/>
  <c r="P117" i="13"/>
  <c r="P119" i="13"/>
  <c r="P121" i="13"/>
  <c r="P141" i="13"/>
  <c r="P145" i="13"/>
  <c r="P147" i="13"/>
  <c r="H36" i="39"/>
  <c r="I10" i="35"/>
  <c r="J54" i="35" s="1"/>
  <c r="I10" i="41"/>
  <c r="J54" i="41" s="1"/>
  <c r="I26" i="5"/>
  <c r="I33" i="5"/>
  <c r="G88" i="2" s="1"/>
  <c r="I35" i="5"/>
  <c r="P103" i="13"/>
  <c r="P105" i="13"/>
  <c r="P111" i="13"/>
  <c r="P113" i="13"/>
  <c r="P142" i="13"/>
  <c r="P156" i="13"/>
  <c r="P158" i="13"/>
  <c r="G157" i="2"/>
  <c r="P125" i="13"/>
  <c r="P133" i="13"/>
  <c r="P135" i="13"/>
  <c r="P150" i="13"/>
  <c r="P101" i="13"/>
  <c r="P128" i="13"/>
  <c r="P132" i="13"/>
  <c r="P138" i="13"/>
  <c r="H32" i="39"/>
  <c r="P100" i="13"/>
  <c r="P107" i="13"/>
  <c r="P109" i="13"/>
  <c r="P123" i="13"/>
  <c r="P126" i="13"/>
  <c r="P134" i="13"/>
  <c r="P144" i="13"/>
  <c r="P157" i="13"/>
  <c r="P159" i="13"/>
  <c r="H41" i="39"/>
  <c r="G63" i="2"/>
  <c r="L204" i="2" s="1"/>
  <c r="G67" i="2"/>
  <c r="G75" i="2"/>
  <c r="G73" i="2"/>
  <c r="H38" i="39"/>
  <c r="P102" i="13"/>
  <c r="P104" i="13"/>
  <c r="P106" i="13"/>
  <c r="P112" i="13"/>
  <c r="P114" i="13"/>
  <c r="P120" i="13"/>
  <c r="P127" i="13"/>
  <c r="P137" i="13"/>
  <c r="P139" i="13"/>
  <c r="P143" i="13"/>
  <c r="P152" i="13"/>
  <c r="P154" i="13"/>
  <c r="H40" i="39"/>
  <c r="I42" i="5"/>
  <c r="H29" i="39"/>
  <c r="H30" i="39"/>
  <c r="G28" i="5"/>
  <c r="H34" i="39"/>
  <c r="P136" i="13"/>
  <c r="L226" i="2"/>
  <c r="G10" i="39"/>
  <c r="G23" i="39" s="1"/>
  <c r="I34" i="5"/>
  <c r="I41" i="5"/>
  <c r="P131" i="13"/>
  <c r="G65" i="2"/>
  <c r="G80" i="34" l="1"/>
  <c r="D101" i="13"/>
  <c r="E101" i="13" s="1"/>
  <c r="F101" i="13" s="1"/>
  <c r="D102" i="13" s="1"/>
  <c r="G184" i="36"/>
  <c r="L230" i="2"/>
  <c r="G235" i="2" s="1"/>
  <c r="G202" i="34"/>
  <c r="G230" i="34" s="1"/>
  <c r="A184" i="36"/>
  <c r="A186" i="36" s="1"/>
  <c r="A188" i="36" s="1"/>
  <c r="A190" i="36" s="1"/>
  <c r="A192" i="36" s="1"/>
  <c r="A193" i="36" s="1"/>
  <c r="A194" i="36" s="1"/>
  <c r="A195" i="36" s="1"/>
  <c r="A196" i="36" s="1"/>
  <c r="A197" i="36" s="1"/>
  <c r="D52" i="5" s="1"/>
  <c r="G140" i="34"/>
  <c r="G197" i="36"/>
  <c r="G110" i="37"/>
  <c r="E22" i="13"/>
  <c r="H80" i="34"/>
  <c r="H57" i="34"/>
  <c r="H60" i="34" s="1"/>
  <c r="H65" i="34" s="1"/>
  <c r="H66" i="34" s="1"/>
  <c r="H68" i="34" s="1"/>
  <c r="H84" i="34" s="1"/>
  <c r="H87" i="34" s="1"/>
  <c r="G72" i="36"/>
  <c r="G23" i="36"/>
  <c r="H218" i="34"/>
  <c r="G64" i="34"/>
  <c r="G66" i="34" s="1"/>
  <c r="G69" i="34" s="1"/>
  <c r="F229" i="34"/>
  <c r="F234" i="34" s="1"/>
  <c r="F237" i="34" s="1"/>
  <c r="C80" i="34"/>
  <c r="H229" i="34"/>
  <c r="I229" i="34"/>
  <c r="J166" i="34"/>
  <c r="J125" i="34"/>
  <c r="G71" i="36"/>
  <c r="E229" i="34"/>
  <c r="C64" i="34"/>
  <c r="C66" i="34" s="1"/>
  <c r="C202" i="34"/>
  <c r="C214" i="34" s="1"/>
  <c r="C219" i="34" s="1"/>
  <c r="A19" i="34"/>
  <c r="A20" i="34" s="1"/>
  <c r="A21" i="34" s="1"/>
  <c r="A22" i="34" s="1"/>
  <c r="A23" i="34" s="1"/>
  <c r="A24" i="34" s="1"/>
  <c r="A25" i="34" s="1"/>
  <c r="B79" i="34" s="1"/>
  <c r="J52" i="34"/>
  <c r="J80" i="34" s="1"/>
  <c r="J79" i="34"/>
  <c r="J199" i="34"/>
  <c r="L242" i="2" s="1"/>
  <c r="B33" i="2"/>
  <c r="B34" i="2" s="1"/>
  <c r="B36" i="2" s="1"/>
  <c r="B39" i="2" s="1"/>
  <c r="B41" i="2" s="1"/>
  <c r="J31" i="6"/>
  <c r="G104" i="2" s="1"/>
  <c r="I57" i="34"/>
  <c r="I60" i="34" s="1"/>
  <c r="I65" i="34" s="1"/>
  <c r="I80" i="34"/>
  <c r="I64" i="34"/>
  <c r="G177" i="36"/>
  <c r="G183" i="36" s="1"/>
  <c r="C70" i="20"/>
  <c r="C70" i="13"/>
  <c r="G109" i="37"/>
  <c r="C229" i="34"/>
  <c r="C234" i="34" s="1"/>
  <c r="C237" i="34" s="1"/>
  <c r="E144" i="34"/>
  <c r="E147" i="34" s="1"/>
  <c r="E152" i="34" s="1"/>
  <c r="E167" i="34"/>
  <c r="E151" i="34"/>
  <c r="A21" i="6"/>
  <c r="E102" i="2"/>
  <c r="F151" i="34"/>
  <c r="F167" i="34"/>
  <c r="F144" i="34"/>
  <c r="F147" i="34" s="1"/>
  <c r="F152" i="34" s="1"/>
  <c r="E52" i="6"/>
  <c r="A30" i="31"/>
  <c r="A37" i="31" s="1"/>
  <c r="A40" i="31" s="1"/>
  <c r="A49" i="31" s="1"/>
  <c r="A50" i="31" s="1"/>
  <c r="A52" i="31" s="1"/>
  <c r="A54" i="31" s="1"/>
  <c r="A58" i="31" s="1"/>
  <c r="A59" i="31" s="1"/>
  <c r="A61" i="31" s="1"/>
  <c r="A62" i="31" s="1"/>
  <c r="A65" i="31" s="1"/>
  <c r="A69" i="31" s="1"/>
  <c r="A81" i="31" s="1"/>
  <c r="A86" i="31" s="1"/>
  <c r="A89" i="31" s="1"/>
  <c r="A95" i="31" s="1"/>
  <c r="A98" i="31" s="1"/>
  <c r="A101" i="31" s="1"/>
  <c r="E64" i="34"/>
  <c r="E80" i="34"/>
  <c r="E202" i="34"/>
  <c r="E57" i="34"/>
  <c r="I218" i="34"/>
  <c r="I140" i="34"/>
  <c r="C144" i="34"/>
  <c r="C147" i="34" s="1"/>
  <c r="C152" i="34" s="1"/>
  <c r="C151" i="34"/>
  <c r="C167" i="34"/>
  <c r="F64" i="34"/>
  <c r="F80" i="34"/>
  <c r="F57" i="34"/>
  <c r="F60" i="34" s="1"/>
  <c r="F65" i="34" s="1"/>
  <c r="F202" i="34"/>
  <c r="G144" i="34"/>
  <c r="G147" i="34" s="1"/>
  <c r="G152" i="34" s="1"/>
  <c r="G151" i="34"/>
  <c r="G167" i="34"/>
  <c r="I144" i="34"/>
  <c r="I147" i="34" s="1"/>
  <c r="I152" i="34" s="1"/>
  <c r="I202" i="34"/>
  <c r="I167" i="34"/>
  <c r="I151" i="34"/>
  <c r="J50" i="34"/>
  <c r="G80" i="2"/>
  <c r="K48" i="11" s="1"/>
  <c r="K51" i="11" s="1"/>
  <c r="K53" i="11" s="1"/>
  <c r="K55" i="11" s="1"/>
  <c r="O89" i="13"/>
  <c r="S33" i="21"/>
  <c r="L187" i="2" s="1"/>
  <c r="N90" i="13"/>
  <c r="M90" i="13"/>
  <c r="N23" i="13"/>
  <c r="O88" i="13"/>
  <c r="G229" i="34"/>
  <c r="C203" i="34"/>
  <c r="J53" i="34"/>
  <c r="J203" i="34" s="1"/>
  <c r="L243" i="2" s="1"/>
  <c r="J253" i="2" s="1"/>
  <c r="D206" i="2"/>
  <c r="D205" i="2"/>
  <c r="G216" i="34"/>
  <c r="H167" i="34"/>
  <c r="H151" i="34"/>
  <c r="J139" i="34"/>
  <c r="H144" i="34"/>
  <c r="H202" i="34"/>
  <c r="A50" i="11"/>
  <c r="A51" i="11" s="1"/>
  <c r="C61" i="11" s="1"/>
  <c r="E143" i="2"/>
  <c r="A47" i="9"/>
  <c r="A48" i="9" s="1"/>
  <c r="A49" i="9" s="1"/>
  <c r="A50" i="9" s="1"/>
  <c r="A51" i="9" s="1"/>
  <c r="A52" i="9" s="1"/>
  <c r="A53" i="9" s="1"/>
  <c r="A54" i="9" s="1"/>
  <c r="A55" i="9" s="1"/>
  <c r="A56" i="9" s="1"/>
  <c r="A57" i="9" s="1"/>
  <c r="A58" i="9" s="1"/>
  <c r="A59" i="9" s="1"/>
  <c r="A60" i="9" s="1"/>
  <c r="A61" i="9" s="1"/>
  <c r="A62" i="9" s="1"/>
  <c r="A64" i="9" s="1"/>
  <c r="O21" i="13"/>
  <c r="P21" i="13" s="1"/>
  <c r="E216" i="34"/>
  <c r="E218" i="34" s="1"/>
  <c r="J216" i="34"/>
  <c r="H255" i="2" s="1"/>
  <c r="G178" i="2"/>
  <c r="G180" i="2"/>
  <c r="J119" i="34"/>
  <c r="H140" i="34"/>
  <c r="A50" i="39"/>
  <c r="A51" i="39" s="1"/>
  <c r="A52" i="39" s="1"/>
  <c r="A53" i="39" s="1"/>
  <c r="A54" i="39" s="1"/>
  <c r="A55" i="39" s="1"/>
  <c r="E86" i="2"/>
  <c r="A23" i="5"/>
  <c r="A25" i="5" s="1"/>
  <c r="E21" i="41"/>
  <c r="E22" i="41" s="1"/>
  <c r="E23" i="41" s="1"/>
  <c r="E24" i="41" s="1"/>
  <c r="E25" i="41" s="1"/>
  <c r="E26" i="41" s="1"/>
  <c r="E27" i="41" s="1"/>
  <c r="E28" i="41" s="1"/>
  <c r="E29" i="41" s="1"/>
  <c r="E30" i="41" s="1"/>
  <c r="E31" i="41" s="1"/>
  <c r="E32" i="41" s="1"/>
  <c r="G81" i="2"/>
  <c r="E21" i="35"/>
  <c r="E22" i="35" s="1"/>
  <c r="E23" i="35" s="1"/>
  <c r="E24" i="35" s="1"/>
  <c r="E25" i="35" s="1"/>
  <c r="E26" i="35" s="1"/>
  <c r="E27" i="35" s="1"/>
  <c r="E28" i="35" s="1"/>
  <c r="E29" i="35" s="1"/>
  <c r="E30" i="35" s="1"/>
  <c r="E31" i="35" s="1"/>
  <c r="E32" i="35" s="1"/>
  <c r="I36" i="5"/>
  <c r="L88" i="2" s="1"/>
  <c r="P22" i="13"/>
  <c r="I44" i="5"/>
  <c r="L89" i="2" s="1"/>
  <c r="G89" i="2"/>
  <c r="E103" i="20"/>
  <c r="F103" i="20" s="1"/>
  <c r="D104" i="20" s="1"/>
  <c r="G68" i="2"/>
  <c r="H42" i="39"/>
  <c r="L207" i="2"/>
  <c r="L63" i="2" s="1"/>
  <c r="G71" i="2"/>
  <c r="L71" i="2"/>
  <c r="G85" i="34" l="1"/>
  <c r="G101" i="13"/>
  <c r="G207" i="34"/>
  <c r="G210" i="34" s="1"/>
  <c r="G215" i="34" s="1"/>
  <c r="G220" i="34" s="1"/>
  <c r="G236" i="34" s="1"/>
  <c r="G214" i="34"/>
  <c r="G219" i="34" s="1"/>
  <c r="G235" i="34" s="1"/>
  <c r="D34" i="5"/>
  <c r="H70" i="34"/>
  <c r="H86" i="34" s="1"/>
  <c r="H234" i="34"/>
  <c r="H237" i="34" s="1"/>
  <c r="G68" i="34"/>
  <c r="G84" i="34" s="1"/>
  <c r="G87" i="34" s="1"/>
  <c r="G70" i="34"/>
  <c r="G86" i="34" s="1"/>
  <c r="J229" i="34"/>
  <c r="C230" i="34"/>
  <c r="C235" i="34" s="1"/>
  <c r="H69" i="34"/>
  <c r="H85" i="34" s="1"/>
  <c r="A28" i="34"/>
  <c r="A29" i="34" s="1"/>
  <c r="B21" i="2"/>
  <c r="E234" i="34"/>
  <c r="E237" i="34" s="1"/>
  <c r="J64" i="34"/>
  <c r="E153" i="34"/>
  <c r="E155" i="34" s="1"/>
  <c r="E171" i="34" s="1"/>
  <c r="E174" i="34" s="1"/>
  <c r="J202" i="34"/>
  <c r="J214" i="34" s="1"/>
  <c r="J219" i="34" s="1"/>
  <c r="I234" i="34"/>
  <c r="I237" i="34" s="1"/>
  <c r="C207" i="34"/>
  <c r="C210" i="34" s="1"/>
  <c r="C215" i="34" s="1"/>
  <c r="C220" i="34" s="1"/>
  <c r="C236" i="34" s="1"/>
  <c r="F66" i="34"/>
  <c r="F68" i="34" s="1"/>
  <c r="F84" i="34" s="1"/>
  <c r="F87" i="34" s="1"/>
  <c r="J140" i="34"/>
  <c r="B55" i="39"/>
  <c r="J218" i="34"/>
  <c r="I153" i="34"/>
  <c r="C22" i="31"/>
  <c r="I66" i="34"/>
  <c r="I68" i="34" s="1"/>
  <c r="I84" i="34" s="1"/>
  <c r="I87" i="34" s="1"/>
  <c r="G153" i="34"/>
  <c r="G155" i="34" s="1"/>
  <c r="G171" i="34" s="1"/>
  <c r="G174" i="34" s="1"/>
  <c r="A27" i="6"/>
  <c r="A29" i="6" s="1"/>
  <c r="A30" i="6" s="1"/>
  <c r="A31" i="6" s="1"/>
  <c r="E103" i="2"/>
  <c r="C51" i="11"/>
  <c r="F230" i="34"/>
  <c r="F214" i="34"/>
  <c r="F219" i="34" s="1"/>
  <c r="F207" i="34"/>
  <c r="F210" i="34" s="1"/>
  <c r="F215" i="34" s="1"/>
  <c r="F220" i="34" s="1"/>
  <c r="F236" i="34" s="1"/>
  <c r="E230" i="34"/>
  <c r="E207" i="34"/>
  <c r="E210" i="34" s="1"/>
  <c r="E215" i="34" s="1"/>
  <c r="E220" i="34" s="1"/>
  <c r="E236" i="34" s="1"/>
  <c r="E214" i="34"/>
  <c r="E219" i="34" s="1"/>
  <c r="I230" i="34"/>
  <c r="I214" i="34"/>
  <c r="I219" i="34" s="1"/>
  <c r="I207" i="34"/>
  <c r="I210" i="34" s="1"/>
  <c r="I215" i="34" s="1"/>
  <c r="I220" i="34" s="1"/>
  <c r="I236" i="34" s="1"/>
  <c r="F153" i="34"/>
  <c r="F155" i="34" s="1"/>
  <c r="F171" i="34" s="1"/>
  <c r="F174" i="34" s="1"/>
  <c r="C153" i="34"/>
  <c r="C155" i="34" s="1"/>
  <c r="C171" i="34" s="1"/>
  <c r="C174" i="34" s="1"/>
  <c r="E60" i="34"/>
  <c r="E65" i="34" s="1"/>
  <c r="J57" i="34"/>
  <c r="J60" i="34" s="1"/>
  <c r="J65" i="34" s="1"/>
  <c r="O90" i="13"/>
  <c r="I17" i="5"/>
  <c r="E20" i="5"/>
  <c r="G20" i="5"/>
  <c r="I19" i="5"/>
  <c r="O23" i="13"/>
  <c r="H230" i="34"/>
  <c r="H214" i="34"/>
  <c r="H219" i="34" s="1"/>
  <c r="H207" i="34"/>
  <c r="H210" i="34" s="1"/>
  <c r="H215" i="34" s="1"/>
  <c r="H220" i="34" s="1"/>
  <c r="H236" i="34" s="1"/>
  <c r="A52" i="11"/>
  <c r="A53" i="11" s="1"/>
  <c r="H147" i="34"/>
  <c r="H152" i="34" s="1"/>
  <c r="H153" i="34" s="1"/>
  <c r="H155" i="34" s="1"/>
  <c r="H171" i="34" s="1"/>
  <c r="H174" i="34" s="1"/>
  <c r="J144" i="34"/>
  <c r="J147" i="34" s="1"/>
  <c r="J152" i="34" s="1"/>
  <c r="B42" i="2"/>
  <c r="C68" i="34"/>
  <c r="C84" i="34" s="1"/>
  <c r="C87" i="34" s="1"/>
  <c r="C70" i="34"/>
  <c r="C86" i="34" s="1"/>
  <c r="A67" i="9"/>
  <c r="A68" i="9" s="1"/>
  <c r="A69" i="9" s="1"/>
  <c r="A70" i="9" s="1"/>
  <c r="A72" i="9" s="1"/>
  <c r="E145" i="2" s="1"/>
  <c r="E144" i="2"/>
  <c r="E223" i="2"/>
  <c r="B57" i="39"/>
  <c r="A57" i="39"/>
  <c r="J151" i="34"/>
  <c r="J167" i="34"/>
  <c r="G218" i="34"/>
  <c r="G234" i="34" s="1"/>
  <c r="G237" i="34" s="1"/>
  <c r="C69" i="34"/>
  <c r="C85" i="34" s="1"/>
  <c r="A26" i="5"/>
  <c r="A27" i="5" s="1"/>
  <c r="A28" i="5" s="1"/>
  <c r="A31" i="5" s="1"/>
  <c r="A33" i="5" s="1"/>
  <c r="I21" i="41"/>
  <c r="L21" i="41" s="1"/>
  <c r="I22" i="41"/>
  <c r="L22" i="41" s="1"/>
  <c r="I22" i="35"/>
  <c r="L22" i="35" s="1"/>
  <c r="I21" i="35"/>
  <c r="L21" i="35" s="1"/>
  <c r="E57" i="11"/>
  <c r="I57" i="11"/>
  <c r="I58" i="11" s="1"/>
  <c r="I59" i="11" s="1"/>
  <c r="K57" i="11"/>
  <c r="K58" i="11" s="1"/>
  <c r="G57" i="11"/>
  <c r="I23" i="41"/>
  <c r="L23" i="41" s="1"/>
  <c r="I23" i="35"/>
  <c r="E102" i="13"/>
  <c r="G233" i="2"/>
  <c r="E57" i="39"/>
  <c r="H75" i="13"/>
  <c r="G75" i="20"/>
  <c r="J69" i="2"/>
  <c r="E104" i="20"/>
  <c r="F104" i="20" s="1"/>
  <c r="D105" i="20" s="1"/>
  <c r="J71" i="2"/>
  <c r="G76" i="2"/>
  <c r="G79" i="2"/>
  <c r="L209" i="2"/>
  <c r="K61" i="11"/>
  <c r="K63" i="11" s="1"/>
  <c r="K65" i="11" s="1"/>
  <c r="P23" i="13"/>
  <c r="J234" i="34" l="1"/>
  <c r="J237" i="34" s="1"/>
  <c r="J66" i="34"/>
  <c r="J69" i="34" s="1"/>
  <c r="J85" i="34" s="1"/>
  <c r="E235" i="34"/>
  <c r="E157" i="34"/>
  <c r="E173" i="34" s="1"/>
  <c r="E156" i="34"/>
  <c r="E172" i="34" s="1"/>
  <c r="E87" i="2"/>
  <c r="J230" i="34"/>
  <c r="J235" i="34" s="1"/>
  <c r="G252" i="2"/>
  <c r="H252" i="2" s="1"/>
  <c r="J252" i="2" s="1"/>
  <c r="J207" i="34"/>
  <c r="L246" i="2" s="1"/>
  <c r="L249" i="2" s="1"/>
  <c r="F157" i="34"/>
  <c r="F173" i="34" s="1"/>
  <c r="G157" i="34"/>
  <c r="G173" i="34" s="1"/>
  <c r="F70" i="34"/>
  <c r="F86" i="34" s="1"/>
  <c r="F69" i="34"/>
  <c r="F85" i="34" s="1"/>
  <c r="G156" i="34"/>
  <c r="G172" i="34" s="1"/>
  <c r="I70" i="34"/>
  <c r="I86" i="34" s="1"/>
  <c r="I156" i="34"/>
  <c r="I172" i="34" s="1"/>
  <c r="I155" i="34"/>
  <c r="I171" i="34" s="1"/>
  <c r="I174" i="34" s="1"/>
  <c r="I157" i="34"/>
  <c r="I173" i="34" s="1"/>
  <c r="I69" i="34"/>
  <c r="I85" i="34" s="1"/>
  <c r="E105"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7" i="2"/>
  <c r="E106" i="2"/>
  <c r="I235" i="34"/>
  <c r="F235" i="34"/>
  <c r="C157" i="34"/>
  <c r="C173" i="34" s="1"/>
  <c r="F156" i="34"/>
  <c r="F172" i="34" s="1"/>
  <c r="C53" i="11"/>
  <c r="H235" i="34"/>
  <c r="C156" i="34"/>
  <c r="C172" i="34" s="1"/>
  <c r="E66" i="34"/>
  <c r="J154" i="2"/>
  <c r="L154" i="2" s="1"/>
  <c r="J72" i="2"/>
  <c r="L72" i="2" s="1"/>
  <c r="G86" i="2"/>
  <c r="G91" i="2" s="1"/>
  <c r="I20" i="5"/>
  <c r="L86" i="2" s="1"/>
  <c r="B43" i="2"/>
  <c r="B45" i="2" s="1"/>
  <c r="B63" i="2" s="1"/>
  <c r="A30" i="34"/>
  <c r="A31" i="34" s="1"/>
  <c r="A34" i="5"/>
  <c r="A35" i="5" s="1"/>
  <c r="A36" i="5" s="1"/>
  <c r="A39" i="5" s="1"/>
  <c r="A41" i="5" s="1"/>
  <c r="A60" i="39"/>
  <c r="A63" i="39" s="1"/>
  <c r="A64" i="39" s="1"/>
  <c r="A65" i="39" s="1"/>
  <c r="A66" i="39" s="1"/>
  <c r="A68" i="39" s="1"/>
  <c r="D233" i="2"/>
  <c r="A54" i="11"/>
  <c r="A55" i="11" s="1"/>
  <c r="H156" i="34"/>
  <c r="H172" i="34" s="1"/>
  <c r="D28" i="5"/>
  <c r="J153" i="34"/>
  <c r="J155" i="34" s="1"/>
  <c r="J171" i="34" s="1"/>
  <c r="J174" i="34" s="1"/>
  <c r="G253" i="2"/>
  <c r="H157" i="34"/>
  <c r="H173" i="34" s="1"/>
  <c r="G82" i="2"/>
  <c r="G48" i="11"/>
  <c r="I24" i="41"/>
  <c r="E58" i="11"/>
  <c r="M57" i="11"/>
  <c r="J143" i="2"/>
  <c r="J134" i="2"/>
  <c r="J213" i="2"/>
  <c r="L213" i="2" s="1"/>
  <c r="L217" i="2" s="1"/>
  <c r="L219" i="2" s="1"/>
  <c r="J144" i="2"/>
  <c r="F102" i="13"/>
  <c r="I24" i="35"/>
  <c r="L24" i="35" s="1"/>
  <c r="E105" i="20"/>
  <c r="F105" i="20" s="1"/>
  <c r="D106" i="20" s="1"/>
  <c r="E67" i="11"/>
  <c r="E68" i="11" s="1"/>
  <c r="I67" i="11"/>
  <c r="I68" i="11" s="1"/>
  <c r="I69" i="11" s="1"/>
  <c r="K67" i="11"/>
  <c r="K68" i="11" s="1"/>
  <c r="G67" i="11"/>
  <c r="J233" i="2"/>
  <c r="G236" i="2"/>
  <c r="L23" i="35"/>
  <c r="J70" i="34" l="1"/>
  <c r="J86" i="34" s="1"/>
  <c r="J68" i="34"/>
  <c r="J84" i="34" s="1"/>
  <c r="J87" i="34" s="1"/>
  <c r="L252" i="2"/>
  <c r="L255" i="2" s="1"/>
  <c r="J210" i="34"/>
  <c r="J215" i="34" s="1"/>
  <c r="J220" i="34" s="1"/>
  <c r="J236" i="34" s="1"/>
  <c r="E45" i="2"/>
  <c r="D36" i="5"/>
  <c r="A70" i="6"/>
  <c r="A71" i="6" s="1"/>
  <c r="A72" i="6"/>
  <c r="A73" i="6" s="1"/>
  <c r="A74" i="6" s="1"/>
  <c r="A75" i="6" s="1"/>
  <c r="A76" i="6" s="1"/>
  <c r="A77" i="6" s="1"/>
  <c r="A78" i="6" s="1"/>
  <c r="E68" i="34"/>
  <c r="E84" i="34" s="1"/>
  <c r="E87" i="34" s="1"/>
  <c r="E69" i="34"/>
  <c r="E85" i="34" s="1"/>
  <c r="C55" i="11"/>
  <c r="E70" i="34"/>
  <c r="E86" i="34" s="1"/>
  <c r="E204" i="2"/>
  <c r="C75" i="13"/>
  <c r="C75" i="20"/>
  <c r="B64" i="2"/>
  <c r="B65" i="2" s="1"/>
  <c r="L253" i="2"/>
  <c r="H253" i="2"/>
  <c r="E88" i="2"/>
  <c r="D306" i="2"/>
  <c r="J157" i="34"/>
  <c r="J173" i="34" s="1"/>
  <c r="A74" i="39"/>
  <c r="A75" i="39" s="1"/>
  <c r="B50" i="39"/>
  <c r="A32" i="34"/>
  <c r="B32" i="34"/>
  <c r="J156" i="34"/>
  <c r="J172" i="34" s="1"/>
  <c r="C56" i="11"/>
  <c r="A56" i="11"/>
  <c r="A42" i="5"/>
  <c r="A43" i="5" s="1"/>
  <c r="A44" i="5" s="1"/>
  <c r="A47" i="5" s="1"/>
  <c r="A49" i="5" s="1"/>
  <c r="B31" i="34"/>
  <c r="E106" i="20"/>
  <c r="F106" i="20" s="1"/>
  <c r="D107" i="20" s="1"/>
  <c r="G51" i="11"/>
  <c r="M48" i="11"/>
  <c r="G59" i="20"/>
  <c r="G76" i="20"/>
  <c r="G77" i="20" s="1"/>
  <c r="G78" i="20" s="1"/>
  <c r="G79" i="20" s="1"/>
  <c r="D97" i="20" s="1"/>
  <c r="H76" i="13"/>
  <c r="H77" i="13" s="1"/>
  <c r="H78" i="13" s="1"/>
  <c r="H79" i="13" s="1"/>
  <c r="D96" i="13" s="1"/>
  <c r="F59" i="13"/>
  <c r="I25" i="35"/>
  <c r="J66" i="2"/>
  <c r="L66" i="2" s="1"/>
  <c r="J74" i="2"/>
  <c r="L74" i="2" s="1"/>
  <c r="J155" i="2"/>
  <c r="L155" i="2" s="1"/>
  <c r="J73" i="2"/>
  <c r="L73" i="2" s="1"/>
  <c r="J156" i="2"/>
  <c r="L156" i="2" s="1"/>
  <c r="J104" i="2"/>
  <c r="L104" i="2" s="1"/>
  <c r="J146" i="2"/>
  <c r="L146" i="2" s="1"/>
  <c r="J141" i="2"/>
  <c r="J102" i="2"/>
  <c r="L102" i="2" s="1"/>
  <c r="J65" i="2"/>
  <c r="L65" i="2" s="1"/>
  <c r="J67" i="2"/>
  <c r="L67" i="2" s="1"/>
  <c r="J75" i="2"/>
  <c r="L75" i="2" s="1"/>
  <c r="J161" i="2"/>
  <c r="J97" i="2"/>
  <c r="L97" i="2" s="1"/>
  <c r="E59" i="11"/>
  <c r="E21" i="13"/>
  <c r="E21" i="20"/>
  <c r="D103" i="13"/>
  <c r="G102" i="13"/>
  <c r="I25" i="41"/>
  <c r="L25" i="41" s="1"/>
  <c r="H234" i="2"/>
  <c r="I234" i="2" s="1"/>
  <c r="H235" i="2"/>
  <c r="H233" i="2"/>
  <c r="E69" i="11"/>
  <c r="J101" i="2"/>
  <c r="L101" i="2" s="1"/>
  <c r="J64" i="2"/>
  <c r="L64" i="2" s="1"/>
  <c r="L24" i="41"/>
  <c r="G254" i="2" l="1"/>
  <c r="H254" i="2" s="1"/>
  <c r="I27" i="5"/>
  <c r="I28" i="5" s="1"/>
  <c r="L87" i="2" s="1"/>
  <c r="L91" i="2" s="1"/>
  <c r="E28" i="5"/>
  <c r="E89" i="2"/>
  <c r="B76" i="39"/>
  <c r="E224" i="2"/>
  <c r="A76" i="39"/>
  <c r="A50" i="5"/>
  <c r="A51" i="5" s="1"/>
  <c r="A34" i="34"/>
  <c r="B66" i="2"/>
  <c r="B67" i="2" s="1"/>
  <c r="D44" i="5"/>
  <c r="A57" i="11"/>
  <c r="C57" i="11"/>
  <c r="L80" i="2"/>
  <c r="L76" i="2"/>
  <c r="L157" i="2"/>
  <c r="M51" i="11"/>
  <c r="G53" i="11"/>
  <c r="L79" i="2"/>
  <c r="L68" i="2"/>
  <c r="J68" i="2" s="1"/>
  <c r="L25" i="35"/>
  <c r="E107" i="20"/>
  <c r="F107" i="20" s="1"/>
  <c r="D108" i="20" s="1"/>
  <c r="I235" i="2"/>
  <c r="I233" i="2" s="1"/>
  <c r="L234" i="2"/>
  <c r="D22" i="20"/>
  <c r="F22" i="20" s="1"/>
  <c r="D22" i="13"/>
  <c r="F22" i="13" s="1"/>
  <c r="E103" i="13"/>
  <c r="F103" i="13" s="1"/>
  <c r="H236" i="2"/>
  <c r="I26" i="41"/>
  <c r="L81" i="2"/>
  <c r="I26" i="35"/>
  <c r="L26" i="35" s="1"/>
  <c r="G61" i="11"/>
  <c r="L254" i="2" l="1"/>
  <c r="D51" i="5"/>
  <c r="A35" i="34"/>
  <c r="B68" i="2"/>
  <c r="B70" i="2" s="1"/>
  <c r="B71" i="2" s="1"/>
  <c r="E68" i="2"/>
  <c r="A52" i="5"/>
  <c r="E90" i="2" s="1"/>
  <c r="A58" i="11"/>
  <c r="C58" i="11"/>
  <c r="D104" i="13"/>
  <c r="E104" i="13" s="1"/>
  <c r="F104" i="13" s="1"/>
  <c r="G103" i="13"/>
  <c r="E108" i="20"/>
  <c r="F108" i="20" s="1"/>
  <c r="D109" i="20" s="1"/>
  <c r="M61" i="11"/>
  <c r="G63" i="11"/>
  <c r="D21" i="20"/>
  <c r="F21" i="20" s="1"/>
  <c r="D21" i="13"/>
  <c r="F21" i="13" s="1"/>
  <c r="L233" i="2"/>
  <c r="L26" i="41"/>
  <c r="D23" i="20"/>
  <c r="F23" i="20" s="1"/>
  <c r="D23" i="13"/>
  <c r="F23" i="13" s="1"/>
  <c r="L235" i="2"/>
  <c r="G64" i="20"/>
  <c r="F64" i="13"/>
  <c r="L82" i="2"/>
  <c r="J82" i="2" s="1"/>
  <c r="G55" i="11"/>
  <c r="G58" i="11" s="1"/>
  <c r="M58" i="11" s="1"/>
  <c r="M53" i="11"/>
  <c r="J165" i="2"/>
  <c r="J142" i="2"/>
  <c r="L142" i="2" s="1"/>
  <c r="J103" i="2"/>
  <c r="L103" i="2" s="1"/>
  <c r="J105" i="2"/>
  <c r="I27" i="35"/>
  <c r="I27" i="41"/>
  <c r="L27" i="41" s="1"/>
  <c r="C59" i="11" l="1"/>
  <c r="A59" i="11"/>
  <c r="A61" i="11" s="1"/>
  <c r="A62" i="11" s="1"/>
  <c r="A63" i="11" s="1"/>
  <c r="B72" i="2"/>
  <c r="B73" i="2" s="1"/>
  <c r="A36" i="34"/>
  <c r="A37" i="34" s="1"/>
  <c r="D105" i="13"/>
  <c r="G104" i="13"/>
  <c r="E109" i="20"/>
  <c r="F109" i="20" s="1"/>
  <c r="D110" i="20" s="1"/>
  <c r="J175" i="2"/>
  <c r="L175" i="2" s="1"/>
  <c r="L179" i="2" s="1"/>
  <c r="J178" i="2"/>
  <c r="L178" i="2" s="1"/>
  <c r="J176" i="2"/>
  <c r="L176" i="2" s="1"/>
  <c r="L180" i="2" s="1"/>
  <c r="G65" i="11"/>
  <c r="G68" i="11" s="1"/>
  <c r="M68" i="11" s="1"/>
  <c r="M63" i="11"/>
  <c r="L236" i="2"/>
  <c r="G170" i="2" s="1"/>
  <c r="I28" i="41"/>
  <c r="L28" i="41" s="1"/>
  <c r="F24" i="13"/>
  <c r="E29" i="13" s="1"/>
  <c r="I28" i="35"/>
  <c r="L28" i="35" s="1"/>
  <c r="L27" i="35"/>
  <c r="F24" i="20"/>
  <c r="F29" i="20" s="1"/>
  <c r="A38" i="34" l="1"/>
  <c r="B38" i="34"/>
  <c r="B74" i="2"/>
  <c r="B75" i="2" s="1"/>
  <c r="B37" i="34"/>
  <c r="A64" i="11"/>
  <c r="A65" i="11" s="1"/>
  <c r="E79" i="2"/>
  <c r="E110" i="20"/>
  <c r="F110" i="20" s="1"/>
  <c r="D111" i="20" s="1"/>
  <c r="F35" i="20"/>
  <c r="G189" i="2"/>
  <c r="E35" i="13"/>
  <c r="L189" i="2"/>
  <c r="I29" i="35"/>
  <c r="E37" i="13"/>
  <c r="F37" i="20"/>
  <c r="E39" i="13"/>
  <c r="F39" i="20"/>
  <c r="I29" i="41"/>
  <c r="L29" i="41" s="1"/>
  <c r="E38" i="13"/>
  <c r="F38" i="20"/>
  <c r="E105" i="13"/>
  <c r="F105" i="13" s="1"/>
  <c r="C66" i="11" l="1"/>
  <c r="A66" i="11"/>
  <c r="A67" i="11" s="1"/>
  <c r="C68" i="11" s="1"/>
  <c r="B76" i="2"/>
  <c r="B78" i="2" s="1"/>
  <c r="B79" i="2" s="1"/>
  <c r="E81" i="2"/>
  <c r="E76" i="2"/>
  <c r="C65" i="11"/>
  <c r="E80" i="2"/>
  <c r="A40" i="34"/>
  <c r="D106" i="13"/>
  <c r="G105" i="13"/>
  <c r="L29" i="35"/>
  <c r="E111" i="20"/>
  <c r="F111" i="20" s="1"/>
  <c r="D112" i="20" s="1"/>
  <c r="I30" i="41"/>
  <c r="L30" i="41" s="1"/>
  <c r="I30" i="35"/>
  <c r="L30" i="35" s="1"/>
  <c r="C64" i="13" l="1"/>
  <c r="C64" i="20"/>
  <c r="B80" i="2"/>
  <c r="B81" i="2" s="1"/>
  <c r="B82" i="2" s="1"/>
  <c r="C48" i="11" s="1"/>
  <c r="A68" i="11"/>
  <c r="C67" i="11"/>
  <c r="A41" i="34"/>
  <c r="E112" i="20"/>
  <c r="F112" i="20" s="1"/>
  <c r="D113" i="20" s="1"/>
  <c r="I31" i="35"/>
  <c r="L31" i="35" s="1"/>
  <c r="I31" i="41"/>
  <c r="L31" i="41" s="1"/>
  <c r="E106" i="13"/>
  <c r="F106" i="13" s="1"/>
  <c r="A42" i="34" l="1"/>
  <c r="A43" i="34" s="1"/>
  <c r="B85" i="2"/>
  <c r="B86" i="2" s="1"/>
  <c r="A69" i="11"/>
  <c r="C69" i="11"/>
  <c r="E82" i="2"/>
  <c r="D107" i="13"/>
  <c r="E107" i="13" s="1"/>
  <c r="F107" i="13" s="1"/>
  <c r="G106" i="13"/>
  <c r="I32" i="41"/>
  <c r="I32" i="35"/>
  <c r="E113" i="20"/>
  <c r="F113" i="20" s="1"/>
  <c r="D114" i="20" s="1"/>
  <c r="B43" i="34" l="1"/>
  <c r="B87" i="2"/>
  <c r="B88" i="2" s="1"/>
  <c r="B89" i="2" s="1"/>
  <c r="B90" i="2" s="1"/>
  <c r="B91" i="2" s="1"/>
  <c r="A44" i="34"/>
  <c r="B44" i="34"/>
  <c r="D108" i="13"/>
  <c r="G107" i="13"/>
  <c r="E114" i="20"/>
  <c r="F114" i="20" s="1"/>
  <c r="D115" i="20" s="1"/>
  <c r="L32" i="41"/>
  <c r="L33" i="41" s="1"/>
  <c r="E36" i="41" s="1"/>
  <c r="I36" i="41" s="1"/>
  <c r="I33" i="41"/>
  <c r="L32" i="35"/>
  <c r="L33" i="35" s="1"/>
  <c r="E36" i="35" s="1"/>
  <c r="I33" i="35"/>
  <c r="A46" i="34" l="1"/>
  <c r="B93" i="2"/>
  <c r="B95" i="2" s="1"/>
  <c r="B97" i="2" s="1"/>
  <c r="B99" i="2" s="1"/>
  <c r="B100" i="2" s="1"/>
  <c r="E91" i="2"/>
  <c r="E115" i="20"/>
  <c r="F115" i="20" s="1"/>
  <c r="I36" i="35"/>
  <c r="L36" i="35" s="1"/>
  <c r="L36" i="41"/>
  <c r="E108" i="13"/>
  <c r="F108" i="13" s="1"/>
  <c r="B101" i="2" l="1"/>
  <c r="B102" i="2" s="1"/>
  <c r="B103" i="2" s="1"/>
  <c r="B104" i="2" s="1"/>
  <c r="B105" i="2" s="1"/>
  <c r="B106" i="2" s="1"/>
  <c r="B107" i="2" s="1"/>
  <c r="B108" i="2" s="1"/>
  <c r="B110" i="2" s="1"/>
  <c r="A47" i="34"/>
  <c r="E39" i="35"/>
  <c r="J39" i="35"/>
  <c r="D109" i="13"/>
  <c r="G108" i="13"/>
  <c r="D116" i="20"/>
  <c r="E39" i="41"/>
  <c r="J39" i="41"/>
  <c r="E108" i="2" l="1"/>
  <c r="A48" i="34"/>
  <c r="A49" i="34" s="1"/>
  <c r="D302" i="2"/>
  <c r="B112" i="2"/>
  <c r="D112" i="2"/>
  <c r="J40" i="35"/>
  <c r="J41" i="35" s="1"/>
  <c r="J42" i="35" s="1"/>
  <c r="J43" i="35" s="1"/>
  <c r="J44" i="35" s="1"/>
  <c r="J45" i="35" s="1"/>
  <c r="J46" i="35" s="1"/>
  <c r="J47" i="35" s="1"/>
  <c r="J48" i="35" s="1"/>
  <c r="J49" i="35" s="1"/>
  <c r="J50" i="35" s="1"/>
  <c r="L39" i="35"/>
  <c r="E40" i="35" s="1"/>
  <c r="I39" i="35"/>
  <c r="L39" i="41"/>
  <c r="E40" i="41" s="1"/>
  <c r="I39" i="41"/>
  <c r="E116" i="20"/>
  <c r="F116" i="20" s="1"/>
  <c r="D117" i="20" s="1"/>
  <c r="J40" i="41"/>
  <c r="J41" i="41" s="1"/>
  <c r="J42" i="41" s="1"/>
  <c r="J43" i="41" s="1"/>
  <c r="J44" i="41" s="1"/>
  <c r="J45" i="41" s="1"/>
  <c r="J46" i="41" s="1"/>
  <c r="J47" i="41" s="1"/>
  <c r="J48" i="41" s="1"/>
  <c r="J49" i="41" s="1"/>
  <c r="J50" i="41" s="1"/>
  <c r="E109" i="13"/>
  <c r="F109" i="13" s="1"/>
  <c r="B49" i="34" l="1"/>
  <c r="C28" i="13"/>
  <c r="B127" i="2"/>
  <c r="C28" i="20"/>
  <c r="A50" i="34"/>
  <c r="B52" i="34"/>
  <c r="B50" i="34"/>
  <c r="J53" i="41"/>
  <c r="D110" i="13"/>
  <c r="G109" i="13"/>
  <c r="E117" i="20"/>
  <c r="F117" i="20" s="1"/>
  <c r="D118" i="20" s="1"/>
  <c r="L40" i="35"/>
  <c r="E41" i="35" s="1"/>
  <c r="I40" i="35"/>
  <c r="L40" i="41"/>
  <c r="E41" i="41" s="1"/>
  <c r="I40" i="41"/>
  <c r="J53" i="35"/>
  <c r="J55" i="41" l="1"/>
  <c r="J55" i="35"/>
  <c r="B128" i="2"/>
  <c r="B129" i="2" s="1"/>
  <c r="A52" i="34"/>
  <c r="B53" i="34"/>
  <c r="E118" i="20"/>
  <c r="F118" i="20" s="1"/>
  <c r="L41" i="35"/>
  <c r="E42" i="35" s="1"/>
  <c r="I41" i="35"/>
  <c r="L41" i="41"/>
  <c r="E42" i="41" s="1"/>
  <c r="I41" i="41"/>
  <c r="E110" i="13"/>
  <c r="F110" i="13" s="1"/>
  <c r="D111" i="13" s="1"/>
  <c r="A53" i="34" l="1"/>
  <c r="B64" i="34"/>
  <c r="B57" i="34"/>
  <c r="B130" i="2"/>
  <c r="B131" i="2" s="1"/>
  <c r="E130" i="2"/>
  <c r="D119" i="20"/>
  <c r="E111" i="13"/>
  <c r="F111" i="13" s="1"/>
  <c r="L42" i="41"/>
  <c r="E43" i="41" s="1"/>
  <c r="I42" i="41"/>
  <c r="G110" i="13"/>
  <c r="L42" i="35"/>
  <c r="E43" i="35" s="1"/>
  <c r="I42" i="35"/>
  <c r="E41" i="2" l="1"/>
  <c r="B132" i="2"/>
  <c r="B133" i="2" s="1"/>
  <c r="D297" i="2"/>
  <c r="A56" i="34"/>
  <c r="B203" i="34"/>
  <c r="B80" i="34"/>
  <c r="D112" i="13"/>
  <c r="G111" i="13"/>
  <c r="L43" i="35"/>
  <c r="E44" i="35" s="1"/>
  <c r="I43" i="35"/>
  <c r="L43" i="41"/>
  <c r="E44" i="41" s="1"/>
  <c r="I43" i="41"/>
  <c r="E119" i="20"/>
  <c r="F119" i="20" s="1"/>
  <c r="E134" i="2" l="1"/>
  <c r="D299" i="2"/>
  <c r="B134" i="2"/>
  <c r="A57" i="34"/>
  <c r="A58" i="34" s="1"/>
  <c r="D120" i="20"/>
  <c r="L44" i="41"/>
  <c r="E45" i="41" s="1"/>
  <c r="I44" i="41"/>
  <c r="L44" i="35"/>
  <c r="E45" i="35" s="1"/>
  <c r="I44" i="35"/>
  <c r="E112" i="13"/>
  <c r="F112" i="13" s="1"/>
  <c r="D113" i="13" s="1"/>
  <c r="A59" i="34" l="1"/>
  <c r="E100" i="2"/>
  <c r="D296" i="2"/>
  <c r="B136" i="2"/>
  <c r="L45" i="35"/>
  <c r="E46" i="35" s="1"/>
  <c r="I45" i="35"/>
  <c r="L45" i="41"/>
  <c r="E46" i="41" s="1"/>
  <c r="I45" i="41"/>
  <c r="E113" i="13"/>
  <c r="F113" i="13" s="1"/>
  <c r="D114" i="13" s="1"/>
  <c r="G112" i="13"/>
  <c r="E120" i="20"/>
  <c r="F120" i="20" s="1"/>
  <c r="D121" i="20" s="1"/>
  <c r="B137" i="2" l="1"/>
  <c r="A60" i="34"/>
  <c r="L46" i="35"/>
  <c r="E47" i="35" s="1"/>
  <c r="I46" i="35"/>
  <c r="G113" i="13"/>
  <c r="E121" i="20"/>
  <c r="F121" i="20" s="1"/>
  <c r="D122" i="20" s="1"/>
  <c r="E114" i="13"/>
  <c r="F114" i="13" s="1"/>
  <c r="L46" i="41"/>
  <c r="E47" i="41" s="1"/>
  <c r="I46" i="41"/>
  <c r="A63" i="34" l="1"/>
  <c r="B65" i="34"/>
  <c r="B138" i="2"/>
  <c r="B139" i="2" s="1"/>
  <c r="B140" i="2" s="1"/>
  <c r="B141" i="2" s="1"/>
  <c r="E142" i="2"/>
  <c r="D115" i="13"/>
  <c r="E115" i="13" s="1"/>
  <c r="G114" i="13"/>
  <c r="L47" i="41"/>
  <c r="E48" i="41" s="1"/>
  <c r="I47" i="41"/>
  <c r="E122" i="20"/>
  <c r="F122" i="20" s="1"/>
  <c r="L47" i="35"/>
  <c r="E48" i="35" s="1"/>
  <c r="I47" i="35"/>
  <c r="F115" i="13" l="1"/>
  <c r="D116" i="13" s="1"/>
  <c r="E116" i="13" s="1"/>
  <c r="F116" i="13" s="1"/>
  <c r="B142" i="2"/>
  <c r="B143" i="2" s="1"/>
  <c r="B144" i="2" s="1"/>
  <c r="B145" i="2" s="1"/>
  <c r="B146" i="2" s="1"/>
  <c r="B147" i="2" s="1"/>
  <c r="E141" i="2"/>
  <c r="A64" i="34"/>
  <c r="D123" i="20"/>
  <c r="E123" i="20" s="1"/>
  <c r="F123" i="20" s="1"/>
  <c r="L48" i="41"/>
  <c r="E49" i="41" s="1"/>
  <c r="I48" i="41"/>
  <c r="L48" i="35"/>
  <c r="E49" i="35" s="1"/>
  <c r="I48" i="35"/>
  <c r="G115" i="13" l="1"/>
  <c r="A65" i="34"/>
  <c r="E147" i="2"/>
  <c r="D300" i="2"/>
  <c r="B149" i="2"/>
  <c r="E149" i="2"/>
  <c r="D124" i="20"/>
  <c r="E124" i="20" s="1"/>
  <c r="D117" i="13"/>
  <c r="G116" i="13"/>
  <c r="L49" i="35"/>
  <c r="E50" i="35" s="1"/>
  <c r="I49" i="35"/>
  <c r="L49" i="41"/>
  <c r="E50" i="41" s="1"/>
  <c r="I49" i="41"/>
  <c r="B150" i="2" l="1"/>
  <c r="E151" i="2" s="1"/>
  <c r="A66" i="34"/>
  <c r="F124" i="20"/>
  <c r="D125" i="20" s="1"/>
  <c r="E125" i="20" s="1"/>
  <c r="F125" i="20" s="1"/>
  <c r="D126" i="20" s="1"/>
  <c r="L50" i="35"/>
  <c r="I50" i="35"/>
  <c r="I51" i="35" s="1"/>
  <c r="L50" i="41"/>
  <c r="I50" i="41"/>
  <c r="I51" i="41" s="1"/>
  <c r="E117" i="13"/>
  <c r="F117" i="13" s="1"/>
  <c r="D118" i="13" s="1"/>
  <c r="A68" i="34" l="1"/>
  <c r="B68" i="34"/>
  <c r="B69" i="34"/>
  <c r="B70" i="34"/>
  <c r="C48" i="20"/>
  <c r="D315" i="2"/>
  <c r="B151" i="2"/>
  <c r="C48" i="13"/>
  <c r="E27" i="2"/>
  <c r="D313" i="2"/>
  <c r="D310" i="2"/>
  <c r="E126" i="20"/>
  <c r="F126" i="20" s="1"/>
  <c r="E118" i="13"/>
  <c r="F118" i="13" s="1"/>
  <c r="D119" i="13" s="1"/>
  <c r="G117" i="13"/>
  <c r="B153" i="2" l="1"/>
  <c r="B154" i="2" s="1"/>
  <c r="A69" i="34"/>
  <c r="G118" i="13"/>
  <c r="D127" i="20"/>
  <c r="E119" i="13"/>
  <c r="F119" i="13" s="1"/>
  <c r="A70" i="34" l="1"/>
  <c r="C59" i="20"/>
  <c r="B155" i="2"/>
  <c r="B156" i="2" s="1"/>
  <c r="B157" i="2" s="1"/>
  <c r="C59" i="13"/>
  <c r="C76" i="13"/>
  <c r="C76" i="20"/>
  <c r="E31" i="2"/>
  <c r="E127" i="20"/>
  <c r="F127" i="20" s="1"/>
  <c r="D120" i="13"/>
  <c r="G119" i="13"/>
  <c r="E157" i="2" l="1"/>
  <c r="B159" i="2"/>
  <c r="B160" i="2" s="1"/>
  <c r="B161" i="2" s="1"/>
  <c r="A72" i="34"/>
  <c r="A74" i="34" s="1"/>
  <c r="A75" i="34" s="1"/>
  <c r="A76" i="34" s="1"/>
  <c r="A79" i="34" s="1"/>
  <c r="D128" i="20"/>
  <c r="E120" i="13"/>
  <c r="F120" i="13" s="1"/>
  <c r="A80" i="34" l="1"/>
  <c r="B84" i="34"/>
  <c r="B162" i="2"/>
  <c r="B163" i="2" s="1"/>
  <c r="B164" i="2" s="1"/>
  <c r="B165" i="2" s="1"/>
  <c r="B166" i="2" s="1"/>
  <c r="E128" i="20"/>
  <c r="F128" i="20" s="1"/>
  <c r="D121" i="13"/>
  <c r="G120" i="13"/>
  <c r="E166" i="2" l="1"/>
  <c r="B168" i="2"/>
  <c r="B169" i="2" s="1"/>
  <c r="A81" i="34"/>
  <c r="B85" i="34"/>
  <c r="D129" i="20"/>
  <c r="E121" i="13"/>
  <c r="F121" i="13" s="1"/>
  <c r="D122" i="13" s="1"/>
  <c r="A84" i="34" l="1"/>
  <c r="A85" i="34" s="1"/>
  <c r="A86" i="34" s="1"/>
  <c r="A87" i="34" s="1"/>
  <c r="A96" i="34" s="1"/>
  <c r="B86" i="34"/>
  <c r="D173" i="2"/>
  <c r="B170" i="2"/>
  <c r="E129" i="20"/>
  <c r="F129" i="20" s="1"/>
  <c r="D130" i="20" s="1"/>
  <c r="E122" i="13"/>
  <c r="F122" i="13" s="1"/>
  <c r="D123" i="13" s="1"/>
  <c r="G121" i="13"/>
  <c r="C35" i="13" l="1"/>
  <c r="C35" i="20"/>
  <c r="B171" i="2"/>
  <c r="B172" i="2" s="1"/>
  <c r="B173" i="2" s="1"/>
  <c r="A97" i="34"/>
  <c r="B183" i="34"/>
  <c r="E130" i="20"/>
  <c r="F130" i="20" s="1"/>
  <c r="D131" i="20" s="1"/>
  <c r="G122" i="13"/>
  <c r="E123" i="13"/>
  <c r="F123" i="13" s="1"/>
  <c r="D124" i="13" s="1"/>
  <c r="B174" i="2" l="1"/>
  <c r="E178" i="2" s="1"/>
  <c r="A98" i="34"/>
  <c r="B184" i="34"/>
  <c r="E131" i="20"/>
  <c r="F131" i="20" s="1"/>
  <c r="D132" i="20" s="1"/>
  <c r="G123" i="13"/>
  <c r="E124" i="13"/>
  <c r="F124" i="13" s="1"/>
  <c r="B185" i="34" l="1"/>
  <c r="A99" i="34"/>
  <c r="B175" i="2"/>
  <c r="D340" i="2"/>
  <c r="E132" i="20"/>
  <c r="F132" i="20" s="1"/>
  <c r="D125" i="13"/>
  <c r="G124" i="13"/>
  <c r="B176" i="2" l="1"/>
  <c r="E179" i="2"/>
  <c r="B186" i="34"/>
  <c r="A100" i="34"/>
  <c r="A101" i="34" s="1"/>
  <c r="D133" i="20"/>
  <c r="E125" i="13"/>
  <c r="F125" i="13" s="1"/>
  <c r="D126" i="13" s="1"/>
  <c r="A103" i="34" l="1"/>
  <c r="B150" i="34"/>
  <c r="B177" i="2"/>
  <c r="E180" i="2"/>
  <c r="E133" i="20"/>
  <c r="F133" i="20" s="1"/>
  <c r="D134" i="20" s="1"/>
  <c r="E126" i="13"/>
  <c r="F126" i="13" s="1"/>
  <c r="D127" i="13" s="1"/>
  <c r="G125" i="13"/>
  <c r="B178" i="2" l="1"/>
  <c r="B179" i="2" s="1"/>
  <c r="B180" i="2" s="1"/>
  <c r="B181" i="2" s="1"/>
  <c r="B100" i="34"/>
  <c r="A106" i="34"/>
  <c r="A107" i="34" s="1"/>
  <c r="A108" i="34" s="1"/>
  <c r="A109" i="34" s="1"/>
  <c r="A110" i="34" s="1"/>
  <c r="A111" i="34" s="1"/>
  <c r="A112" i="34" s="1"/>
  <c r="E134" i="20"/>
  <c r="F134" i="20" s="1"/>
  <c r="G126" i="13"/>
  <c r="E127" i="13"/>
  <c r="F127" i="13" s="1"/>
  <c r="D128" i="13" s="1"/>
  <c r="D135" i="20" l="1"/>
  <c r="E135" i="20" s="1"/>
  <c r="F135" i="20" s="1"/>
  <c r="D136" i="20" s="1"/>
  <c r="B183" i="2"/>
  <c r="E34" i="2" s="1"/>
  <c r="C50" i="13"/>
  <c r="C50" i="20"/>
  <c r="B166" i="34"/>
  <c r="A115" i="34"/>
  <c r="E181" i="2"/>
  <c r="G127" i="13"/>
  <c r="E128" i="13"/>
  <c r="F128" i="13" s="1"/>
  <c r="A116" i="34" l="1"/>
  <c r="C49" i="13"/>
  <c r="C49" i="20"/>
  <c r="B185" i="2"/>
  <c r="E177" i="2"/>
  <c r="E136" i="20"/>
  <c r="F136" i="20" s="1"/>
  <c r="D137" i="20" s="1"/>
  <c r="D129" i="13"/>
  <c r="E129" i="13" s="1"/>
  <c r="F129" i="13" s="1"/>
  <c r="D130" i="13" s="1"/>
  <c r="G128" i="13"/>
  <c r="B187" i="2" l="1"/>
  <c r="D304" i="2"/>
  <c r="A117" i="34"/>
  <c r="A118" i="34" s="1"/>
  <c r="E137" i="20"/>
  <c r="F137" i="20" s="1"/>
  <c r="D138" i="20" s="1"/>
  <c r="E130" i="13"/>
  <c r="F130" i="13" s="1"/>
  <c r="G129" i="13"/>
  <c r="B118" i="34" l="1"/>
  <c r="A119" i="34"/>
  <c r="B119" i="34"/>
  <c r="D189" i="2"/>
  <c r="B189" i="2"/>
  <c r="B191" i="2" s="1"/>
  <c r="D131" i="13"/>
  <c r="E131" i="13" s="1"/>
  <c r="F131" i="13" s="1"/>
  <c r="G130" i="13"/>
  <c r="E138" i="20"/>
  <c r="F138" i="20" s="1"/>
  <c r="D139" i="20" s="1"/>
  <c r="D192" i="2" l="1"/>
  <c r="A121" i="34"/>
  <c r="E13" i="2"/>
  <c r="B204" i="2"/>
  <c r="E139" i="20"/>
  <c r="F139" i="20" s="1"/>
  <c r="D140" i="20" s="1"/>
  <c r="D132" i="13"/>
  <c r="G131" i="13"/>
  <c r="B205" i="2" l="1"/>
  <c r="B206" i="2" s="1"/>
  <c r="B207" i="2" s="1"/>
  <c r="A122" i="34"/>
  <c r="E140" i="20"/>
  <c r="F140" i="20" s="1"/>
  <c r="E132" i="13"/>
  <c r="F132" i="13" s="1"/>
  <c r="A123" i="34" l="1"/>
  <c r="A124" i="34" s="1"/>
  <c r="B209" i="2"/>
  <c r="B211" i="2" s="1"/>
  <c r="B212" i="2" s="1"/>
  <c r="B213" i="2" s="1"/>
  <c r="E209" i="2"/>
  <c r="E63" i="2"/>
  <c r="E207" i="2"/>
  <c r="D141" i="20"/>
  <c r="D133" i="13"/>
  <c r="E133" i="13" s="1"/>
  <c r="F133" i="13" s="1"/>
  <c r="D134" i="13" s="1"/>
  <c r="G132" i="13"/>
  <c r="B214" i="2" l="1"/>
  <c r="B215" i="2" s="1"/>
  <c r="B216" i="2" s="1"/>
  <c r="B217" i="2" s="1"/>
  <c r="B219" i="2" s="1"/>
  <c r="B222" i="2" s="1"/>
  <c r="B223" i="2" s="1"/>
  <c r="B124" i="34"/>
  <c r="A125" i="34"/>
  <c r="B125" i="34"/>
  <c r="E141" i="20"/>
  <c r="F141" i="20" s="1"/>
  <c r="D142" i="20" s="1"/>
  <c r="E142" i="20" s="1"/>
  <c r="F142" i="20" s="1"/>
  <c r="D143" i="20" s="1"/>
  <c r="E143" i="20" s="1"/>
  <c r="F143" i="20" s="1"/>
  <c r="E134" i="13"/>
  <c r="F134" i="13" s="1"/>
  <c r="D135" i="13" s="1"/>
  <c r="G133" i="13"/>
  <c r="E217" i="2" l="1"/>
  <c r="A127" i="34"/>
  <c r="B224" i="2"/>
  <c r="B225" i="2" s="1"/>
  <c r="B226" i="2" s="1"/>
  <c r="D144" i="20"/>
  <c r="E135" i="13"/>
  <c r="F135" i="13" s="1"/>
  <c r="G134" i="13"/>
  <c r="B227" i="2" l="1"/>
  <c r="A128" i="34"/>
  <c r="D136" i="13"/>
  <c r="G135" i="13"/>
  <c r="E144" i="20"/>
  <c r="F144" i="20" s="1"/>
  <c r="A129" i="34" l="1"/>
  <c r="A130" i="34" s="1"/>
  <c r="B228" i="2"/>
  <c r="D234" i="2"/>
  <c r="D145" i="20"/>
  <c r="E145" i="20" s="1"/>
  <c r="E136" i="13"/>
  <c r="F136" i="13" s="1"/>
  <c r="B130" i="34" l="1"/>
  <c r="B229" i="2"/>
  <c r="B230" i="2" s="1"/>
  <c r="A131" i="34"/>
  <c r="B131" i="34"/>
  <c r="F145" i="20"/>
  <c r="D137" i="13"/>
  <c r="G136" i="13"/>
  <c r="A133" i="34" l="1"/>
  <c r="E230" i="2"/>
  <c r="D235" i="2"/>
  <c r="B233" i="2"/>
  <c r="D146" i="20"/>
  <c r="E146" i="20" s="1"/>
  <c r="F146" i="20" s="1"/>
  <c r="D147" i="20" s="1"/>
  <c r="E137" i="13"/>
  <c r="F137" i="13" s="1"/>
  <c r="D138" i="13" s="1"/>
  <c r="B234" i="2" l="1"/>
  <c r="B235" i="2" s="1"/>
  <c r="D236" i="2" s="1"/>
  <c r="A134" i="34"/>
  <c r="G137" i="13"/>
  <c r="E138" i="13"/>
  <c r="F138" i="13" s="1"/>
  <c r="E147" i="20"/>
  <c r="F147" i="20" s="1"/>
  <c r="C19" i="13" l="1"/>
  <c r="D351" i="2"/>
  <c r="C19" i="20"/>
  <c r="A135" i="34"/>
  <c r="A136" i="34" s="1"/>
  <c r="B236" i="2"/>
  <c r="C16" i="13"/>
  <c r="C16" i="20"/>
  <c r="D148" i="20"/>
  <c r="E148" i="20" s="1"/>
  <c r="F148" i="20" s="1"/>
  <c r="D139" i="13"/>
  <c r="G138" i="13"/>
  <c r="B136" i="34" l="1"/>
  <c r="B238" i="2"/>
  <c r="B241" i="2" s="1"/>
  <c r="B242" i="2" s="1"/>
  <c r="B243" i="2" s="1"/>
  <c r="B244" i="2" s="1"/>
  <c r="B245" i="2" s="1"/>
  <c r="E183" i="2"/>
  <c r="D171" i="2"/>
  <c r="A137" i="34"/>
  <c r="B139" i="34"/>
  <c r="B137" i="34"/>
  <c r="D149" i="20"/>
  <c r="E139" i="13"/>
  <c r="F139" i="13" s="1"/>
  <c r="A139" i="34" l="1"/>
  <c r="B140" i="34"/>
  <c r="B246" i="2"/>
  <c r="B247" i="2" s="1"/>
  <c r="B248" i="2" s="1"/>
  <c r="B249" i="2" s="1"/>
  <c r="B251" i="2" s="1"/>
  <c r="B252" i="2" s="1"/>
  <c r="B253" i="2" s="1"/>
  <c r="B254" i="2" s="1"/>
  <c r="B255" i="2" s="1"/>
  <c r="D140" i="13"/>
  <c r="G139" i="13"/>
  <c r="E149" i="20"/>
  <c r="F149" i="20" s="1"/>
  <c r="E249" i="2" l="1"/>
  <c r="B144" i="34"/>
  <c r="A140" i="34"/>
  <c r="B151" i="34"/>
  <c r="B202" i="34"/>
  <c r="D150" i="20"/>
  <c r="E140" i="13"/>
  <c r="F140" i="13" s="1"/>
  <c r="D141" i="13" s="1"/>
  <c r="A143" i="34" l="1"/>
  <c r="B167" i="34"/>
  <c r="E141" i="13"/>
  <c r="F141" i="13" s="1"/>
  <c r="D142" i="13" s="1"/>
  <c r="E150" i="20"/>
  <c r="F150" i="20" s="1"/>
  <c r="G140" i="13"/>
  <c r="A144" i="34" l="1"/>
  <c r="A145" i="34" s="1"/>
  <c r="B206" i="34"/>
  <c r="D151" i="20"/>
  <c r="E142" i="13"/>
  <c r="F142" i="13" s="1"/>
  <c r="D143" i="13" s="1"/>
  <c r="G141" i="13"/>
  <c r="A146" i="34" l="1"/>
  <c r="B208" i="34"/>
  <c r="G142" i="13"/>
  <c r="E143" i="13"/>
  <c r="F143" i="13" s="1"/>
  <c r="D144" i="13" s="1"/>
  <c r="E151" i="20"/>
  <c r="F151" i="20" s="1"/>
  <c r="D152" i="20" s="1"/>
  <c r="A147" i="34" l="1"/>
  <c r="B209" i="34"/>
  <c r="E144" i="13"/>
  <c r="F144" i="13" s="1"/>
  <c r="D145" i="13" s="1"/>
  <c r="G143" i="13"/>
  <c r="E152" i="20"/>
  <c r="F152" i="20" s="1"/>
  <c r="A150" i="34" l="1"/>
  <c r="B152" i="34"/>
  <c r="D153" i="20"/>
  <c r="E153" i="20" s="1"/>
  <c r="E145" i="13"/>
  <c r="F145" i="13" s="1"/>
  <c r="G144" i="13"/>
  <c r="A151" i="34" l="1"/>
  <c r="F153" i="20"/>
  <c r="D154" i="20" s="1"/>
  <c r="D146" i="13"/>
  <c r="G145" i="13"/>
  <c r="A152" i="34" l="1"/>
  <c r="E154" i="20"/>
  <c r="F154" i="20" s="1"/>
  <c r="D155" i="20" s="1"/>
  <c r="E155" i="20" s="1"/>
  <c r="F155" i="20" s="1"/>
  <c r="E146" i="13"/>
  <c r="F146" i="13" s="1"/>
  <c r="A153" i="34" l="1"/>
  <c r="B157" i="34" s="1"/>
  <c r="D156" i="20"/>
  <c r="D147" i="13"/>
  <c r="G146" i="13"/>
  <c r="A155" i="34" l="1"/>
  <c r="B155" i="34"/>
  <c r="B156" i="34"/>
  <c r="E147" i="13"/>
  <c r="F147" i="13" s="1"/>
  <c r="E156" i="20"/>
  <c r="F156" i="20" s="1"/>
  <c r="A156" i="34" l="1"/>
  <c r="D157" i="20"/>
  <c r="D148" i="13"/>
  <c r="G147" i="13"/>
  <c r="A157" i="34" l="1"/>
  <c r="E148" i="13"/>
  <c r="F148" i="13" s="1"/>
  <c r="E157" i="20"/>
  <c r="F157" i="20" s="1"/>
  <c r="D158" i="20" s="1"/>
  <c r="A159" i="34" l="1"/>
  <c r="A161" i="34" s="1"/>
  <c r="A162" i="34" s="1"/>
  <c r="A163" i="34" s="1"/>
  <c r="A166" i="34" s="1"/>
  <c r="D149" i="13"/>
  <c r="G148" i="13"/>
  <c r="E158" i="20"/>
  <c r="F158" i="20" s="1"/>
  <c r="D159" i="20" s="1"/>
  <c r="A167" i="34" l="1"/>
  <c r="B171" i="34"/>
  <c r="E159" i="20"/>
  <c r="F159" i="20" s="1"/>
  <c r="E149" i="13"/>
  <c r="F149" i="13" s="1"/>
  <c r="A168" i="34" l="1"/>
  <c r="B172" i="34"/>
  <c r="D160" i="20"/>
  <c r="E160" i="20" s="1"/>
  <c r="E161" i="20" s="1"/>
  <c r="D150" i="13"/>
  <c r="G149" i="13"/>
  <c r="A171" i="34" l="1"/>
  <c r="A172" i="34" s="1"/>
  <c r="A173" i="34" s="1"/>
  <c r="A174" i="34" s="1"/>
  <c r="A183" i="34" s="1"/>
  <c r="A184" i="34" s="1"/>
  <c r="A185" i="34" s="1"/>
  <c r="A186" i="34" s="1"/>
  <c r="A187" i="34" s="1"/>
  <c r="A188" i="34" s="1"/>
  <c r="B173" i="34"/>
  <c r="F160" i="20"/>
  <c r="E150" i="13"/>
  <c r="F150" i="13" s="1"/>
  <c r="D151" i="13" s="1"/>
  <c r="A190" i="34" l="1"/>
  <c r="B213" i="34"/>
  <c r="E151" i="13"/>
  <c r="F151" i="13" s="1"/>
  <c r="D152" i="13" s="1"/>
  <c r="G150" i="13"/>
  <c r="B187" i="34" l="1"/>
  <c r="A193" i="34"/>
  <c r="A194" i="34" s="1"/>
  <c r="A195" i="34" s="1"/>
  <c r="A196" i="34" s="1"/>
  <c r="A197" i="34" s="1"/>
  <c r="A198" i="34" s="1"/>
  <c r="A199" i="34" s="1"/>
  <c r="E152" i="13"/>
  <c r="F152" i="13" s="1"/>
  <c r="G151" i="13"/>
  <c r="A202" i="34" l="1"/>
  <c r="E242" i="2"/>
  <c r="B229" i="34"/>
  <c r="D153" i="13"/>
  <c r="G152" i="13"/>
  <c r="B207" i="34" l="1"/>
  <c r="A203" i="34"/>
  <c r="B214" i="34"/>
  <c r="E153" i="13"/>
  <c r="F153" i="13" s="1"/>
  <c r="B230" i="34" l="1"/>
  <c r="E243" i="2"/>
  <c r="A206" i="34"/>
  <c r="D154" i="13"/>
  <c r="G153" i="13"/>
  <c r="E245" i="2" l="1"/>
  <c r="A207" i="34"/>
  <c r="E154" i="13"/>
  <c r="F154" i="13" s="1"/>
  <c r="A208" i="34" l="1"/>
  <c r="E246" i="2"/>
  <c r="D155" i="13"/>
  <c r="G154" i="13"/>
  <c r="A209" i="34" l="1"/>
  <c r="E247" i="2"/>
  <c r="E155" i="13"/>
  <c r="F155" i="13" s="1"/>
  <c r="D156" i="13" s="1"/>
  <c r="A210" i="34" l="1"/>
  <c r="E248" i="2"/>
  <c r="G155" i="13"/>
  <c r="E156" i="13"/>
  <c r="F156" i="13" s="1"/>
  <c r="B215" i="34" l="1"/>
  <c r="A213" i="34"/>
  <c r="D157" i="13"/>
  <c r="G156" i="13"/>
  <c r="D252" i="2" l="1"/>
  <c r="A214" i="34"/>
  <c r="E157" i="13"/>
  <c r="F157" i="13" s="1"/>
  <c r="A215" i="34" l="1"/>
  <c r="D253" i="2"/>
  <c r="D158" i="13"/>
  <c r="G157" i="13"/>
  <c r="A216" i="34" l="1"/>
  <c r="B220" i="34" s="1"/>
  <c r="D254" i="2"/>
  <c r="E158" i="13"/>
  <c r="F158" i="13" s="1"/>
  <c r="A218" i="34" l="1"/>
  <c r="D255" i="2"/>
  <c r="B218" i="34"/>
  <c r="B219" i="34"/>
  <c r="D159" i="13"/>
  <c r="G158" i="13"/>
  <c r="A219" i="34" l="1"/>
  <c r="E159" i="13"/>
  <c r="E160" i="13" s="1"/>
  <c r="A220" i="34" l="1"/>
  <c r="F159" i="13"/>
  <c r="G159" i="13" s="1"/>
  <c r="A222" i="34" l="1"/>
  <c r="A224" i="34" s="1"/>
  <c r="A225" i="34" s="1"/>
  <c r="A226" i="34" s="1"/>
  <c r="A229" i="34" s="1"/>
  <c r="A230" i="34" l="1"/>
  <c r="B234" i="34"/>
  <c r="A231" i="34" l="1"/>
  <c r="B235" i="34"/>
  <c r="A234" i="34" l="1"/>
  <c r="A235" i="34" s="1"/>
  <c r="A236" i="34" s="1"/>
  <c r="A237" i="34" s="1"/>
  <c r="B236" i="34"/>
  <c r="E81" i="31" l="1"/>
  <c r="E37" i="11" s="1"/>
  <c r="K37" i="11" s="1"/>
  <c r="F70" i="9" l="1"/>
  <c r="E67" i="9" l="1"/>
  <c r="F72" i="9"/>
  <c r="G145" i="2" s="1"/>
  <c r="L145" i="2" s="1"/>
  <c r="E70" i="9"/>
  <c r="E68" i="9"/>
  <c r="E69" i="9"/>
  <c r="D72" i="9" l="1"/>
  <c r="G140" i="2" s="1"/>
  <c r="E72" i="9"/>
  <c r="L42" i="2" l="1"/>
  <c r="L43" i="2" l="1"/>
  <c r="D33" i="9" l="1"/>
  <c r="G131" i="2" s="1"/>
  <c r="D44" i="9" l="1"/>
  <c r="G138" i="2" s="1"/>
  <c r="D64" i="9"/>
  <c r="G139" i="2" s="1"/>
  <c r="L41" i="2"/>
  <c r="G134" i="2"/>
  <c r="L45" i="2" l="1"/>
  <c r="G141" i="2"/>
  <c r="L141" i="2" s="1"/>
  <c r="F64" i="9"/>
  <c r="G144" i="2" s="1"/>
  <c r="L144" i="2" s="1"/>
  <c r="F44" i="9"/>
  <c r="G143" i="2" s="1"/>
  <c r="L143" i="2" s="1"/>
  <c r="L134" i="2"/>
  <c r="L100" i="2" s="1"/>
  <c r="G100" i="2"/>
  <c r="L147" i="2" l="1"/>
  <c r="L149" i="2" s="1"/>
  <c r="L151" i="2" s="1"/>
  <c r="G147" i="2"/>
  <c r="G149" i="2" s="1"/>
  <c r="G151" i="2" s="1"/>
  <c r="E64" i="9"/>
  <c r="E44" i="9"/>
  <c r="I40" i="6" l="1"/>
  <c r="K40" i="6" s="1"/>
  <c r="E40" i="6" s="1"/>
  <c r="I39" i="6" l="1"/>
  <c r="D55" i="6"/>
  <c r="D29" i="6" s="1"/>
  <c r="I64" i="6"/>
  <c r="K64" i="6" s="1"/>
  <c r="E64" i="6" s="1"/>
  <c r="E79" i="6" s="1"/>
  <c r="E30" i="6" s="1"/>
  <c r="I63" i="6" l="1"/>
  <c r="D79" i="6"/>
  <c r="D30" i="6" s="1"/>
  <c r="D31" i="6" s="1"/>
  <c r="K39" i="6"/>
  <c r="I55" i="6"/>
  <c r="I29" i="6" s="1"/>
  <c r="K55" i="6" l="1"/>
  <c r="K29" i="6" s="1"/>
  <c r="E39" i="6"/>
  <c r="E55" i="6" s="1"/>
  <c r="E29" i="6" s="1"/>
  <c r="E31" i="6" s="1"/>
  <c r="G107" i="2" s="1"/>
  <c r="L107" i="2" s="1"/>
  <c r="I79" i="6"/>
  <c r="I30" i="6" s="1"/>
  <c r="I31" i="6" s="1"/>
  <c r="G105" i="2" s="1"/>
  <c r="K63" i="6"/>
  <c r="K79" i="6" s="1"/>
  <c r="K30" i="6" s="1"/>
  <c r="K31" i="6" l="1"/>
  <c r="L105" i="2"/>
  <c r="L108" i="2" s="1"/>
  <c r="L112" i="2" s="1"/>
  <c r="G108" i="2"/>
  <c r="G112" i="2" s="1"/>
  <c r="G183" i="2" s="1"/>
  <c r="G177" i="2" s="1"/>
  <c r="G181" i="2" s="1"/>
  <c r="L183" i="2" l="1"/>
  <c r="F28" i="20"/>
  <c r="F30" i="20" s="1"/>
  <c r="E28" i="13"/>
  <c r="E30" i="13" s="1"/>
  <c r="F56" i="13" l="1"/>
  <c r="E34" i="13"/>
  <c r="E36" i="13" s="1"/>
  <c r="E40" i="13" s="1"/>
  <c r="F57" i="13" s="1"/>
  <c r="G56" i="20"/>
  <c r="F34" i="20"/>
  <c r="F36" i="20" s="1"/>
  <c r="F40" i="20" s="1"/>
  <c r="L177" i="2"/>
  <c r="L181" i="2" s="1"/>
  <c r="F50" i="13" s="1"/>
  <c r="G49" i="20"/>
  <c r="F49" i="13"/>
  <c r="G50" i="20" l="1"/>
  <c r="G57" i="20"/>
  <c r="E69" i="31" l="1"/>
  <c r="E36" i="11" s="1"/>
  <c r="K36" i="11" s="1"/>
  <c r="J21" i="8" l="1"/>
  <c r="J27" i="8" s="1"/>
  <c r="J31" i="8" s="1"/>
  <c r="I27" i="8"/>
  <c r="I31" i="8" s="1"/>
  <c r="E98" i="31" l="1"/>
  <c r="I31" i="31"/>
  <c r="I30" i="31" s="1"/>
  <c r="E30" i="31"/>
  <c r="E95" i="31" l="1"/>
  <c r="E40" i="11" s="1"/>
  <c r="M40" i="11" s="1"/>
  <c r="E89" i="31"/>
  <c r="E39" i="11" s="1"/>
  <c r="M39" i="11" s="1"/>
  <c r="E86" i="31"/>
  <c r="E38" i="11" s="1"/>
  <c r="K38" i="11" s="1"/>
  <c r="E65" i="31"/>
  <c r="E35" i="11" s="1"/>
  <c r="K35" i="11" s="1"/>
  <c r="E62" i="31"/>
  <c r="E34" i="11" s="1"/>
  <c r="M34" i="11" s="1"/>
  <c r="E59" i="31"/>
  <c r="E31" i="11" s="1"/>
  <c r="M31" i="11" s="1"/>
  <c r="E54" i="31"/>
  <c r="E28" i="11" s="1"/>
  <c r="I28" i="11" s="1"/>
  <c r="E52" i="31"/>
  <c r="E27" i="11" s="1"/>
  <c r="I27" i="11" s="1"/>
  <c r="E50" i="31"/>
  <c r="E26" i="11" s="1"/>
  <c r="I26" i="11" s="1"/>
  <c r="E21" i="11"/>
  <c r="G21" i="11" s="1"/>
  <c r="K43" i="11" l="1"/>
  <c r="G165" i="2" s="1"/>
  <c r="L165" i="2" s="1"/>
  <c r="I43" i="11"/>
  <c r="G161" i="2" s="1"/>
  <c r="L161" i="2" s="1"/>
  <c r="E37" i="31"/>
  <c r="I38" i="31"/>
  <c r="I37" i="31" s="1"/>
  <c r="E14" i="31" l="1"/>
  <c r="E17" i="11" s="1"/>
  <c r="M17" i="11" s="1"/>
  <c r="M43" i="11" s="1"/>
  <c r="G164" i="2" s="1"/>
  <c r="L164" i="2" s="1"/>
  <c r="E22" i="11"/>
  <c r="G22" i="11" s="1"/>
  <c r="E101" i="31"/>
  <c r="E23" i="31"/>
  <c r="I24" i="31"/>
  <c r="I23" i="31" s="1"/>
  <c r="I22" i="31" s="1"/>
  <c r="L163" i="2" s="1"/>
  <c r="F101" i="31" l="1"/>
  <c r="L166" i="2"/>
  <c r="L191" i="2" s="1"/>
  <c r="L13" i="2" s="1"/>
  <c r="E20" i="11"/>
  <c r="E22" i="31"/>
  <c r="G163" i="2" s="1"/>
  <c r="G166" i="2" s="1"/>
  <c r="G191" i="2" s="1"/>
  <c r="G47" i="20" l="1"/>
  <c r="G51" i="20" s="1"/>
  <c r="G55" i="20" s="1"/>
  <c r="G58" i="20" s="1"/>
  <c r="G60" i="20" s="1"/>
  <c r="G68" i="20" s="1"/>
  <c r="G69" i="20" s="1"/>
  <c r="L31" i="2"/>
  <c r="F70" i="13" s="1"/>
  <c r="J95" i="13" s="1"/>
  <c r="L27" i="2"/>
  <c r="L28" i="2" s="1"/>
  <c r="L18" i="2"/>
  <c r="F47" i="13"/>
  <c r="F51" i="13" s="1"/>
  <c r="F55" i="13" s="1"/>
  <c r="F58" i="13" s="1"/>
  <c r="F65" i="13" s="1"/>
  <c r="F66" i="13" s="1"/>
  <c r="L34" i="2"/>
  <c r="G20" i="11"/>
  <c r="G43" i="11" s="1"/>
  <c r="E43" i="11"/>
  <c r="G65" i="20" l="1"/>
  <c r="G66" i="20" s="1"/>
  <c r="F60" i="13"/>
  <c r="F68" i="13" s="1"/>
  <c r="F69" i="13" s="1"/>
  <c r="F71" i="13" s="1"/>
  <c r="G70" i="20"/>
  <c r="I96" i="20" s="1"/>
  <c r="G115" i="20" s="1"/>
  <c r="H123" i="13"/>
  <c r="H127" i="13"/>
  <c r="H107" i="13"/>
  <c r="H143" i="13"/>
  <c r="H126" i="13"/>
  <c r="H148" i="13"/>
  <c r="H139" i="13"/>
  <c r="H103" i="13"/>
  <c r="J96" i="13"/>
  <c r="H159" i="13"/>
  <c r="H112" i="13"/>
  <c r="H129" i="13"/>
  <c r="H153" i="13"/>
  <c r="H121" i="13"/>
  <c r="H146" i="13"/>
  <c r="H156" i="13"/>
  <c r="H124" i="13"/>
  <c r="H125" i="13"/>
  <c r="H100" i="13"/>
  <c r="H119" i="13"/>
  <c r="H134" i="13"/>
  <c r="H130" i="13"/>
  <c r="H108" i="13"/>
  <c r="H113" i="13"/>
  <c r="H131" i="13"/>
  <c r="H111" i="13"/>
  <c r="H149" i="13"/>
  <c r="H157" i="13"/>
  <c r="H145" i="13"/>
  <c r="H120" i="13"/>
  <c r="H132" i="13"/>
  <c r="H110" i="13"/>
  <c r="H151" i="13"/>
  <c r="H115" i="13"/>
  <c r="H138" i="13"/>
  <c r="H106" i="13"/>
  <c r="H109" i="13"/>
  <c r="H122" i="13"/>
  <c r="H137" i="13"/>
  <c r="H141" i="13"/>
  <c r="H154" i="13"/>
  <c r="H147" i="13"/>
  <c r="H155" i="13"/>
  <c r="H133" i="13"/>
  <c r="H152" i="13"/>
  <c r="H128" i="13"/>
  <c r="H140" i="13"/>
  <c r="H102" i="13"/>
  <c r="H118" i="13"/>
  <c r="H117" i="13"/>
  <c r="H136" i="13"/>
  <c r="H105" i="13"/>
  <c r="H144" i="13"/>
  <c r="H101" i="13"/>
  <c r="H135" i="13"/>
  <c r="H116" i="13"/>
  <c r="H114" i="13"/>
  <c r="H104" i="13"/>
  <c r="H150" i="13"/>
  <c r="H142" i="13"/>
  <c r="H158" i="13"/>
  <c r="G130" i="20" l="1"/>
  <c r="G157" i="20"/>
  <c r="G125" i="20"/>
  <c r="G152" i="20"/>
  <c r="G112" i="20"/>
  <c r="G102" i="20"/>
  <c r="G117" i="20"/>
  <c r="G145" i="20"/>
  <c r="G140" i="20"/>
  <c r="G118" i="20"/>
  <c r="G149" i="20"/>
  <c r="G126" i="20"/>
  <c r="G120" i="20"/>
  <c r="G138" i="20"/>
  <c r="G137" i="20"/>
  <c r="G156" i="20"/>
  <c r="G104" i="20"/>
  <c r="G116" i="20"/>
  <c r="G111" i="20"/>
  <c r="G108" i="20"/>
  <c r="G107" i="20"/>
  <c r="G132" i="20"/>
  <c r="I97" i="20"/>
  <c r="H115" i="20" s="1"/>
  <c r="I115" i="20" s="1"/>
  <c r="G127" i="20"/>
  <c r="G131" i="20"/>
  <c r="G109" i="20"/>
  <c r="G146" i="20"/>
  <c r="G148" i="20"/>
  <c r="G154" i="20"/>
  <c r="G142" i="20"/>
  <c r="G71" i="20"/>
  <c r="G122" i="20"/>
  <c r="G114" i="20"/>
  <c r="G101" i="20"/>
  <c r="G158" i="20"/>
  <c r="G150" i="20"/>
  <c r="G110" i="20"/>
  <c r="G143" i="20"/>
  <c r="G121" i="20"/>
  <c r="G113" i="20"/>
  <c r="G129" i="20"/>
  <c r="G135" i="20"/>
  <c r="G119" i="20"/>
  <c r="G153" i="20"/>
  <c r="G124" i="20"/>
  <c r="G141" i="20"/>
  <c r="G159" i="20"/>
  <c r="G155" i="20"/>
  <c r="G139" i="20"/>
  <c r="G105" i="20"/>
  <c r="G106" i="20"/>
  <c r="G144" i="20"/>
  <c r="G147" i="20"/>
  <c r="G123" i="20"/>
  <c r="G151" i="20"/>
  <c r="G103" i="20"/>
  <c r="G134" i="20"/>
  <c r="G133" i="20"/>
  <c r="G160" i="20"/>
  <c r="G136" i="20"/>
  <c r="G128" i="20"/>
  <c r="H160" i="13"/>
  <c r="I117" i="13"/>
  <c r="J117" i="13" s="1"/>
  <c r="I102" i="13"/>
  <c r="J102" i="13" s="1"/>
  <c r="I159" i="13"/>
  <c r="J159" i="13" s="1"/>
  <c r="I127" i="13"/>
  <c r="J127" i="13" s="1"/>
  <c r="I111" i="13"/>
  <c r="J111" i="13" s="1"/>
  <c r="I124" i="13"/>
  <c r="J124" i="13" s="1"/>
  <c r="I106" i="13"/>
  <c r="J106" i="13" s="1"/>
  <c r="I149" i="13"/>
  <c r="J149" i="13" s="1"/>
  <c r="I128" i="13"/>
  <c r="J128" i="13" s="1"/>
  <c r="I125" i="13"/>
  <c r="J125" i="13" s="1"/>
  <c r="I122" i="13"/>
  <c r="J122" i="13" s="1"/>
  <c r="I147" i="13"/>
  <c r="J147" i="13" s="1"/>
  <c r="I126" i="13"/>
  <c r="J126" i="13" s="1"/>
  <c r="I109" i="13"/>
  <c r="J109" i="13" s="1"/>
  <c r="I141" i="13"/>
  <c r="J141" i="13" s="1"/>
  <c r="I100" i="13"/>
  <c r="I103" i="13"/>
  <c r="J103" i="13" s="1"/>
  <c r="I119" i="13"/>
  <c r="J119" i="13" s="1"/>
  <c r="I146" i="13"/>
  <c r="J146" i="13" s="1"/>
  <c r="I108" i="13"/>
  <c r="J108" i="13" s="1"/>
  <c r="I136" i="13"/>
  <c r="J136" i="13" s="1"/>
  <c r="I148" i="13"/>
  <c r="J148" i="13" s="1"/>
  <c r="I105" i="13"/>
  <c r="J105" i="13" s="1"/>
  <c r="I145" i="13"/>
  <c r="J145" i="13" s="1"/>
  <c r="I107" i="13"/>
  <c r="J107" i="13" s="1"/>
  <c r="I139" i="13"/>
  <c r="J139" i="13" s="1"/>
  <c r="I157" i="13"/>
  <c r="J157" i="13" s="1"/>
  <c r="I142" i="13"/>
  <c r="J142" i="13" s="1"/>
  <c r="I130" i="13"/>
  <c r="J130" i="13" s="1"/>
  <c r="I156" i="13"/>
  <c r="J156" i="13" s="1"/>
  <c r="I152" i="13"/>
  <c r="J152" i="13" s="1"/>
  <c r="I151" i="13"/>
  <c r="J151" i="13" s="1"/>
  <c r="I158" i="13"/>
  <c r="J158" i="13" s="1"/>
  <c r="I153" i="13"/>
  <c r="J153" i="13" s="1"/>
  <c r="I123" i="13"/>
  <c r="J123" i="13" s="1"/>
  <c r="I110" i="13"/>
  <c r="J110" i="13" s="1"/>
  <c r="I133" i="13"/>
  <c r="J133" i="13" s="1"/>
  <c r="I138" i="13"/>
  <c r="J138" i="13" s="1"/>
  <c r="I112" i="13"/>
  <c r="J112" i="13" s="1"/>
  <c r="I132" i="13"/>
  <c r="J132" i="13" s="1"/>
  <c r="I116" i="13"/>
  <c r="J116" i="13" s="1"/>
  <c r="I135" i="13"/>
  <c r="J135" i="13" s="1"/>
  <c r="I104" i="13"/>
  <c r="J104" i="13" s="1"/>
  <c r="I120" i="13"/>
  <c r="J120" i="13" s="1"/>
  <c r="I113" i="13"/>
  <c r="J113" i="13" s="1"/>
  <c r="I129" i="13"/>
  <c r="J129" i="13" s="1"/>
  <c r="I155" i="13"/>
  <c r="J155" i="13" s="1"/>
  <c r="I140" i="13"/>
  <c r="J140" i="13" s="1"/>
  <c r="I137" i="13"/>
  <c r="J137" i="13" s="1"/>
  <c r="I118" i="13"/>
  <c r="J118" i="13" s="1"/>
  <c r="I144" i="13"/>
  <c r="J144" i="13" s="1"/>
  <c r="I101" i="13"/>
  <c r="J101" i="13" s="1"/>
  <c r="I150" i="13"/>
  <c r="J150" i="13" s="1"/>
  <c r="I114" i="13"/>
  <c r="J114" i="13" s="1"/>
  <c r="I115" i="13"/>
  <c r="J115" i="13" s="1"/>
  <c r="I121" i="13"/>
  <c r="J121" i="13" s="1"/>
  <c r="I154" i="13"/>
  <c r="J154" i="13" s="1"/>
  <c r="I131" i="13"/>
  <c r="J131" i="13" s="1"/>
  <c r="I134" i="13"/>
  <c r="J134" i="13" s="1"/>
  <c r="I143" i="13"/>
  <c r="J143" i="13" s="1"/>
  <c r="H112" i="20" l="1"/>
  <c r="I112" i="20" s="1"/>
  <c r="H142" i="20"/>
  <c r="H109" i="20"/>
  <c r="I109" i="20" s="1"/>
  <c r="H122" i="20"/>
  <c r="I122" i="20" s="1"/>
  <c r="H125" i="20"/>
  <c r="I125" i="20" s="1"/>
  <c r="H140" i="20"/>
  <c r="I140" i="20" s="1"/>
  <c r="H120" i="20"/>
  <c r="I120" i="20" s="1"/>
  <c r="H143" i="20"/>
  <c r="I143" i="20" s="1"/>
  <c r="H139" i="20"/>
  <c r="I139" i="20" s="1"/>
  <c r="H135" i="20"/>
  <c r="I135" i="20" s="1"/>
  <c r="H126" i="20"/>
  <c r="I126" i="20" s="1"/>
  <c r="H117" i="20"/>
  <c r="I117" i="20" s="1"/>
  <c r="H159" i="20"/>
  <c r="I159" i="20" s="1"/>
  <c r="H102" i="20"/>
  <c r="I102" i="20" s="1"/>
  <c r="H106" i="20"/>
  <c r="I106" i="20" s="1"/>
  <c r="H124" i="20"/>
  <c r="I124" i="20" s="1"/>
  <c r="H101" i="20"/>
  <c r="I101" i="20" s="1"/>
  <c r="H104" i="20"/>
  <c r="I104" i="20" s="1"/>
  <c r="H118" i="20"/>
  <c r="I118" i="20" s="1"/>
  <c r="H146" i="20"/>
  <c r="I146" i="20" s="1"/>
  <c r="H111" i="20"/>
  <c r="I111" i="20" s="1"/>
  <c r="H149" i="20"/>
  <c r="I149" i="20" s="1"/>
  <c r="H129" i="20"/>
  <c r="I129" i="20" s="1"/>
  <c r="H121" i="20"/>
  <c r="I121" i="20" s="1"/>
  <c r="H133" i="20"/>
  <c r="I133" i="20" s="1"/>
  <c r="H134" i="20"/>
  <c r="I134" i="20" s="1"/>
  <c r="H147" i="20"/>
  <c r="I147" i="20" s="1"/>
  <c r="H137" i="20"/>
  <c r="I137" i="20" s="1"/>
  <c r="H141" i="20"/>
  <c r="I141" i="20" s="1"/>
  <c r="H145" i="20"/>
  <c r="I145" i="20" s="1"/>
  <c r="H151" i="20"/>
  <c r="I151" i="20" s="1"/>
  <c r="H110" i="20"/>
  <c r="I110" i="20" s="1"/>
  <c r="H131" i="20"/>
  <c r="I131" i="20" s="1"/>
  <c r="H138" i="20"/>
  <c r="I138" i="20" s="1"/>
  <c r="H153" i="20"/>
  <c r="I153" i="20" s="1"/>
  <c r="H116" i="20"/>
  <c r="I116" i="20" s="1"/>
  <c r="H114" i="20"/>
  <c r="I114" i="20" s="1"/>
  <c r="H107" i="20"/>
  <c r="I107" i="20" s="1"/>
  <c r="H157" i="20"/>
  <c r="I157" i="20" s="1"/>
  <c r="H105" i="20"/>
  <c r="I105" i="20" s="1"/>
  <c r="H123" i="20"/>
  <c r="I123" i="20" s="1"/>
  <c r="H160" i="20"/>
  <c r="I160" i="20" s="1"/>
  <c r="H130" i="20"/>
  <c r="I130" i="20" s="1"/>
  <c r="H103" i="20"/>
  <c r="I103" i="20" s="1"/>
  <c r="H136" i="20"/>
  <c r="I136" i="20" s="1"/>
  <c r="H144" i="20"/>
  <c r="I144" i="20" s="1"/>
  <c r="H128" i="20"/>
  <c r="I128" i="20" s="1"/>
  <c r="H155" i="20"/>
  <c r="I155" i="20" s="1"/>
  <c r="H158" i="20"/>
  <c r="I158" i="20" s="1"/>
  <c r="H132" i="20"/>
  <c r="I132" i="20" s="1"/>
  <c r="H148" i="20"/>
  <c r="I148" i="20" s="1"/>
  <c r="H154" i="20"/>
  <c r="I154" i="20" s="1"/>
  <c r="H150" i="20"/>
  <c r="I150" i="20" s="1"/>
  <c r="H152" i="20"/>
  <c r="I152" i="20" s="1"/>
  <c r="H156" i="20"/>
  <c r="I156" i="20" s="1"/>
  <c r="H127" i="20"/>
  <c r="I127" i="20" s="1"/>
  <c r="H108" i="20"/>
  <c r="I108" i="20" s="1"/>
  <c r="H119" i="20"/>
  <c r="I119" i="20" s="1"/>
  <c r="H113" i="20"/>
  <c r="I113" i="20" s="1"/>
  <c r="G161" i="20"/>
  <c r="I142" i="20"/>
  <c r="J100" i="13"/>
  <c r="J160" i="13" s="1"/>
  <c r="I160" i="13"/>
  <c r="H161" i="20" l="1"/>
  <c r="I161" i="20"/>
</calcChain>
</file>

<file path=xl/sharedStrings.xml><?xml version="1.0" encoding="utf-8"?>
<sst xmlns="http://schemas.openxmlformats.org/spreadsheetml/2006/main" count="1808" uniqueCount="985">
  <si>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</si>
  <si>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</si>
  <si>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</si>
  <si>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</si>
  <si>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</si>
  <si>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</si>
  <si>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</si>
  <si>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</si>
  <si>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</si>
  <si>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</si>
  <si>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</si>
  <si>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</si>
  <si>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</si>
  <si>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</si>
  <si>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</si>
  <si>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</si>
  <si>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</si>
  <si>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</si>
  <si>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</si>
  <si>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</si>
  <si>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</si>
  <si>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</si>
  <si>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</si>
  <si>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</si>
  <si>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</si>
  <si>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</si>
  <si>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</si>
  <si>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</si>
  <si>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</si>
  <si>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</si>
  <si>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</si>
  <si>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</si>
  <si>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</si>
  <si>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</si>
  <si>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</si>
  <si>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</si>
  <si>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</si>
  <si>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</si>
  <si>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</si>
  <si>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</si>
  <si>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</si>
  <si>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</si>
  <si>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</si>
  <si>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</si>
  <si>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</si>
  <si>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</si>
  <si>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</si>
  <si>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</si>
  <si>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</si>
  <si>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</si>
  <si>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</si>
  <si>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</si>
  <si>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</si>
  <si>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</si>
  <si>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</si>
  <si>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</si>
  <si>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</si>
  <si>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</si>
  <si>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</si>
  <si>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</si>
  <si>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</si>
  <si>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</si>
  <si>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</si>
  <si>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</si>
  <si>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</si>
  <si>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</si>
  <si>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</si>
  <si>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</si>
  <si>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</si>
  <si>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</si>
  <si>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</si>
  <si>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</si>
  <si>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</si>
  <si>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</si>
  <si>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</si>
  <si>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</si>
  <si>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</si>
  <si>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</si>
  <si>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</si>
  <si>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</si>
  <si>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</si>
  <si>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</si>
  <si>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</si>
  <si>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</si>
  <si>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</si>
  <si>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</si>
  <si>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</si>
  <si>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</si>
  <si>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</si>
  <si>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</si>
  <si>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</si>
  <si>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</si>
  <si>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</si>
  <si>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</si>
  <si>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</si>
  <si>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</si>
  <si>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</si>
  <si>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</si>
  <si>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</si>
  <si>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</si>
  <si>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</si>
  <si>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</si>
  <si>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</si>
  <si>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</si>
  <si>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</si>
  <si>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</si>
  <si>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</si>
  <si>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</si>
  <si>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</si>
  <si>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</si>
  <si>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</si>
  <si>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</si>
  <si>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</si>
  <si>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</si>
  <si>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</si>
  <si>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</si>
  <si>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</si>
  <si>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</si>
  <si>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</si>
  <si>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</si>
  <si>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</si>
  <si>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</si>
  <si>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</si>
  <si>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</si>
  <si>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</si>
  <si>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</si>
  <si>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</si>
  <si>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</si>
  <si>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</si>
  <si>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</si>
  <si>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</si>
  <si>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</si>
  <si>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</si>
  <si>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</si>
  <si>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</si>
  <si>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</si>
  <si>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</si>
  <si>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</si>
  <si>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</si>
  <si>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</si>
  <si>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</si>
  <si>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</si>
  <si>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</si>
  <si>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</si>
  <si>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</si>
  <si>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</si>
  <si>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</si>
  <si>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</si>
  <si>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</si>
  <si>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</si>
  <si>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</si>
  <si>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</si>
  <si>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</si>
  <si>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</si>
  <si>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</si>
  <si>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</si>
  <si>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</si>
  <si>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</si>
  <si>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</si>
  <si>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</si>
  <si>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</si>
  <si>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</si>
  <si>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</si>
  <si>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</si>
  <si>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</si>
  <si>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</si>
  <si>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</si>
  <si>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</si>
  <si>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</si>
  <si>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</si>
  <si>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</si>
  <si>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</si>
  <si>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</si>
  <si>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</si>
  <si>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</si>
  <si>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</si>
  <si>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</si>
  <si>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</si>
  <si>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</si>
  <si>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</si>
  <si>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</si>
  <si>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</si>
  <si>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</si>
  <si>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</si>
  <si>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</si>
  <si>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</si>
  <si>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</si>
  <si>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</si>
  <si>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</si>
  <si>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</si>
  <si>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</si>
  <si>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</si>
  <si>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</si>
  <si>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</si>
  <si>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</si>
  <si>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</si>
  <si>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</si>
  <si>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</si>
  <si>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</si>
  <si>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</si>
  <si>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</si>
  <si>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</si>
  <si>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</si>
  <si>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</si>
  <si>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</si>
  <si>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</si>
  <si>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</si>
  <si>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</si>
  <si>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</si>
  <si>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</si>
  <si>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</si>
  <si>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</si>
  <si>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</si>
  <si>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</si>
  <si>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</si>
  <si>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</si>
  <si>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</si>
  <si>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</si>
  <si>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</si>
  <si>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</si>
  <si>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</si>
  <si>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</si>
  <si>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</si>
  <si>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</si>
  <si>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</si>
  <si>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</si>
  <si>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</si>
  <si>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</si>
  <si>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</si>
  <si>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</si>
  <si>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</si>
  <si>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</si>
  <si>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</si>
  <si>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</si>
  <si>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</si>
  <si>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</si>
  <si>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</si>
  <si>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</si>
  <si>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</si>
  <si>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</si>
  <si>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</si>
  <si>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</si>
  <si>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</si>
  <si>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</si>
  <si>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</si>
  <si>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</si>
  <si>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</si>
  <si>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</si>
  <si>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</si>
  <si>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</si>
  <si>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</si>
  <si>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</si>
  <si>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</si>
  <si>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</si>
  <si>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</si>
  <si>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</si>
  <si>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</si>
  <si>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</si>
  <si>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</si>
  <si>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</si>
  <si>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</si>
  <si>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</si>
  <si>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</si>
  <si>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</si>
  <si>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</si>
  <si>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</si>
  <si>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</si>
  <si>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</si>
  <si>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</si>
  <si>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</si>
  <si>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</si>
  <si>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</si>
  <si>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</si>
  <si>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</si>
  <si>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</si>
  <si>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</si>
  <si>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</si>
  <si>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</si>
  <si>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</si>
  <si>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</si>
  <si>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</si>
  <si>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</si>
  <si>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</si>
  <si>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</si>
  <si>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</si>
  <si>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</si>
  <si>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</si>
  <si>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</si>
  <si>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</si>
  <si>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</si>
  <si>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</si>
  <si>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</si>
  <si>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</si>
  <si>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</si>
  <si>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</si>
  <si>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</si>
  <si>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</si>
  <si>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</si>
  <si>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</si>
  <si>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</si>
  <si>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</si>
  <si>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</si>
  <si>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</si>
  <si>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</si>
  <si>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</si>
  <si>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</si>
  <si>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</si>
  <si>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</si>
  <si>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</si>
  <si>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</si>
  <si>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</si>
  <si>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</si>
  <si>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</si>
  <si>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</si>
  <si>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</si>
  <si>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</si>
  <si>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</si>
  <si>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</si>
  <si>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</si>
  <si>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</si>
  <si>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</si>
  <si>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</si>
  <si>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</si>
  <si>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</si>
  <si>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</si>
  <si>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</si>
  <si>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</si>
  <si>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</si>
  <si>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</si>
  <si>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</si>
  <si>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</si>
  <si>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</si>
  <si>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</si>
  <si>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</si>
  <si>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</si>
  <si>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</si>
  <si>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</si>
  <si>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</si>
  <si>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</si>
  <si>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</si>
  <si>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</si>
  <si>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</si>
  <si>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</si>
  <si>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</si>
  <si>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</si>
  <si>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</si>
  <si>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</si>
  <si>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</si>
  <si>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</si>
  <si>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</si>
  <si>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</si>
  <si>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</si>
  <si>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</si>
  <si>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</si>
  <si>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</si>
  <si>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</si>
  <si>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</si>
  <si>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</si>
  <si>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</si>
  <si>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</si>
  <si>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</si>
  <si>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</si>
  <si>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</si>
  <si>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</si>
  <si>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</si>
  <si>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</si>
  <si>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</si>
  <si>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</si>
  <si>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</si>
  <si>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</si>
  <si>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</si>
  <si>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</si>
  <si>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</si>
  <si>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</si>
  <si>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</si>
  <si>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</si>
  <si>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</si>
  <si>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</si>
  <si>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</si>
  <si>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</si>
  <si>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</si>
  <si>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</si>
  <si>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</si>
  <si>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</si>
  <si>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</si>
  <si>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</si>
  <si>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</si>
  <si>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</si>
  <si>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</si>
  <si>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</si>
  <si>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</si>
  <si>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</si>
  <si>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</si>
  <si>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</si>
  <si>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</si>
  <si>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</si>
  <si>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</si>
  <si>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</si>
  <si>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</si>
  <si>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</si>
  <si>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</si>
  <si>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</si>
  <si>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</si>
  <si>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</si>
  <si>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</si>
  <si>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</si>
  <si>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</si>
  <si>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</si>
  <si>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</si>
  <si>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</si>
  <si>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</si>
  <si>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</si>
  <si>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</si>
  <si>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</si>
  <si>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</si>
  <si>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</si>
  <si>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</si>
  <si>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</si>
  <si>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</si>
  <si>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</si>
  <si>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</si>
  <si>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</si>
  <si>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</si>
  <si>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</si>
  <si>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</si>
  <si>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</si>
  <si>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</si>
  <si>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</si>
  <si>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</si>
  <si>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</si>
  <si>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</si>
  <si>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</si>
  <si>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</si>
  <si>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</si>
  <si>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</si>
  <si>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</si>
  <si>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</si>
  <si>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</si>
  <si>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</si>
  <si>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</si>
  <si>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</si>
  <si>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</si>
  <si>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</si>
  <si>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</si>
  <si>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</si>
  <si>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</si>
  <si>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</si>
  <si>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</si>
  <si>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</si>
  <si>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</si>
  <si>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</si>
  <si>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</si>
  <si>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</si>
  <si>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</si>
  <si>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</si>
  <si>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</si>
  <si>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</si>
  <si>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</si>
  <si>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</si>
  <si>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</si>
  <si>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</si>
  <si>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</si>
  <si>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</si>
  <si>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</si>
  <si>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</si>
  <si>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</si>
  <si>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</si>
  <si>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</si>
  <si>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</si>
  <si>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</si>
  <si>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</si>
  <si>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</si>
  <si>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</si>
  <si>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</si>
  <si>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</si>
  <si>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</si>
  <si>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</si>
  <si>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</si>
  <si>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</si>
  <si>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</si>
  <si>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</si>
  <si>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</si>
  <si>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</si>
  <si>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</si>
  <si>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</si>
  <si>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</si>
  <si>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</si>
  <si>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</si>
  <si>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</si>
  <si>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</si>
  <si>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</si>
  <si>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</si>
  <si>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</si>
  <si>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</si>
  <si>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</si>
  <si>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</si>
  <si>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</si>
  <si>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</si>
  <si>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</si>
  <si>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</si>
  <si>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</si>
  <si>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</si>
  <si>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</si>
  <si>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</si>
  <si>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</si>
  <si>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</si>
  <si>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</si>
  <si>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</si>
  <si>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</si>
  <si>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</si>
  <si>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</si>
  <si>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</si>
  <si>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</si>
  <si>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</si>
  <si>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</si>
  <si>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</si>
  <si>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</si>
  <si>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</si>
  <si>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</si>
  <si>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</si>
  <si>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</si>
  <si>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</si>
  <si>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</si>
  <si>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</si>
  <si>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</si>
  <si>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</si>
  <si>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</si>
  <si>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</si>
  <si>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</si>
  <si>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</si>
  <si>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</si>
  <si>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</si>
  <si>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</si>
  <si>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</si>
  <si>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</si>
  <si>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</si>
  <si>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</si>
  <si>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</si>
  <si>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</si>
  <si>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</si>
  <si>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</si>
  <si>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</si>
  <si>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</si>
  <si>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</si>
  <si>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</si>
  <si>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</si>
  <si>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</si>
  <si>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</si>
  <si>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</si>
  <si>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</si>
  <si>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</si>
  <si>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</si>
  <si>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</si>
  <si>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</si>
  <si>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</si>
  <si>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</si>
  <si>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</si>
  <si>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</si>
  <si>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</si>
  <si>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</si>
  <si>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</si>
  <si>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</si>
  <si>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</si>
  <si>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</si>
  <si>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</si>
  <si>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</si>
  <si>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</si>
  <si>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</si>
  <si>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</si>
  <si>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</si>
  <si>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</si>
  <si>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</si>
  <si>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</si>
  <si>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</si>
  <si>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</si>
  <si>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</si>
  <si>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</si>
  <si>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</si>
  <si>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</si>
  <si>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</si>
  <si>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</si>
  <si>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</si>
  <si>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</si>
  <si>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</si>
  <si>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</si>
  <si>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</si>
  <si>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</si>
  <si>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</si>
  <si>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</si>
  <si>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</si>
  <si>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</si>
  <si>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</si>
  <si>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</si>
  <si>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</si>
  <si>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</si>
  <si>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</si>
  <si>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</si>
  <si>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</si>
  <si>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</si>
  <si>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</si>
  <si>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</si>
  <si>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</si>
  <si>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</si>
  <si>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</si>
  <si>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</si>
  <si>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</si>
  <si>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</si>
  <si>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</si>
  <si>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</si>
  <si>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</si>
  <si>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</si>
  <si>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</si>
  <si>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</si>
  <si>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</si>
  <si>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</si>
  <si>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</si>
  <si>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</si>
  <si>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</si>
  <si>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</si>
  <si>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</si>
  <si>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</si>
  <si>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</si>
  <si>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</si>
  <si>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</si>
  <si>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</si>
  <si>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</si>
  <si>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</si>
  <si>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</si>
  <si>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</si>
  <si>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</si>
  <si>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</si>
  <si>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</si>
  <si>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</si>
  <si>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</si>
  <si>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</si>
  <si>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</si>
  <si>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</si>
  <si>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</si>
  <si>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</si>
  <si>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</si>
  <si>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</si>
  <si>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</si>
  <si>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</si>
  <si>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</si>
  <si>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</si>
  <si>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</si>
  <si>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</si>
  <si>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</si>
  <si>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</si>
  <si>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</si>
  <si>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</si>
  <si>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</si>
  <si>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</si>
  <si>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</si>
  <si>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</si>
  <si>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</si>
  <si>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</si>
  <si>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</si>
  <si>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</si>
  <si>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</si>
  <si>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</si>
  <si>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</si>
  <si>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</si>
  <si>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</si>
  <si>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</si>
  <si>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</si>
  <si>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</si>
  <si>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</si>
  <si>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</si>
  <si>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</si>
  <si>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</si>
  <si>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</si>
  <si>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</si>
  <si>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</si>
  <si>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</si>
  <si>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</si>
  <si>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</si>
  <si>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</si>
  <si>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</si>
  <si>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</si>
  <si>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</si>
  <si>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</si>
  <si>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</si>
  <si>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</si>
  <si>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</si>
  <si>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</si>
  <si>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</si>
  <si>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</si>
  <si>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</si>
  <si>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</si>
  <si>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</si>
  <si>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</si>
  <si>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</si>
  <si>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</si>
  <si>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</si>
  <si>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</si>
  <si>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</si>
  <si>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</si>
  <si>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</si>
  <si>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</si>
  <si>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</si>
  <si>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</si>
  <si>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</si>
  <si>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</si>
  <si>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</si>
  <si>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</si>
  <si>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</si>
  <si>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</si>
  <si>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</si>
  <si>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</si>
  <si>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</si>
  <si>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</si>
  <si>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</si>
  <si>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</si>
  <si>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</si>
  <si>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</si>
  <si>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</si>
  <si>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</si>
  <si>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</si>
  <si>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</si>
  <si>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</si>
  <si>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</si>
  <si>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</si>
  <si>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</si>
  <si>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</si>
  <si>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</si>
  <si>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</si>
  <si>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</si>
  <si>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</si>
  <si>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</si>
  <si>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</si>
  <si>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</si>
  <si>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</si>
  <si>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</si>
  <si>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</si>
  <si>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</si>
  <si>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</si>
  <si>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</si>
  <si>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</si>
  <si>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</si>
  <si>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</si>
  <si>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</si>
  <si>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</si>
  <si>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</si>
  <si>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</si>
  <si>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</si>
  <si>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</si>
  <si>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</si>
  <si>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</si>
  <si>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</si>
  <si>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</si>
  <si>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</si>
  <si>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</si>
  <si>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</si>
  <si>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</si>
  <si>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</si>
  <si>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</si>
  <si>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</si>
  <si>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</si>
  <si>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</si>
  <si>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</si>
  <si>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</si>
  <si>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</si>
  <si>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</si>
  <si>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</si>
  <si>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</si>
  <si>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</si>
  <si>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</si>
  <si>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</si>
  <si>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</si>
  <si>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</si>
  <si>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</si>
  <si>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</si>
  <si>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</si>
  <si>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</si>
  <si>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</si>
  <si>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</si>
  <si>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</si>
  <si>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</si>
  <si>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</si>
  <si>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</si>
  <si>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</si>
  <si>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</si>
  <si>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</si>
  <si>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</si>
  <si>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</si>
  <si>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</si>
  <si>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</si>
  <si>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</si>
  <si>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</si>
  <si>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</si>
  <si>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</si>
  <si>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</si>
  <si>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</si>
  <si>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</si>
  <si>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</si>
  <si>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</si>
  <si>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</si>
  <si>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</si>
  <si>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</si>
  <si>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</si>
  <si>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</si>
  <si>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</si>
  <si>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</si>
  <si>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</si>
  <si>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</si>
  <si>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</si>
  <si>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</si>
  <si>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</si>
  <si>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</si>
  <si>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</si>
  <si>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</si>
  <si>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Stores Equipment</t>
  </si>
  <si>
    <t>Laboratory Equipment</t>
  </si>
  <si>
    <t>GENERAL PLANT</t>
  </si>
  <si>
    <t>APPALACHAIN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</si>
  <si>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</si>
  <si>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</si>
  <si>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</si>
  <si>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</si>
  <si>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</si>
  <si>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</si>
  <si>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</si>
  <si>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</si>
  <si>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</si>
  <si>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</si>
  <si>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</si>
  <si>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</si>
  <si>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</si>
  <si>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</si>
  <si>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</si>
  <si>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</si>
  <si>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</si>
  <si>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</si>
  <si>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</si>
  <si>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</si>
  <si>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</si>
  <si>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</si>
  <si>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</si>
  <si>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</si>
  <si>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</si>
  <si>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</si>
  <si>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</si>
  <si>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</si>
  <si>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2.11</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</si>
  <si>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</si>
  <si>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</si>
  <si>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</si>
  <si>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</si>
  <si>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</si>
  <si>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</si>
  <si>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</si>
  <si>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</si>
  <si>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</si>
  <si>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</si>
  <si>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5.11</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</si>
  <si>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</si>
  <si>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</si>
  <si>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</si>
  <si>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</si>
  <si>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</si>
  <si>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</si>
  <si>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</si>
  <si>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</si>
  <si>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</si>
  <si>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</si>
  <si>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</si>
  <si>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9.08</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</si>
  <si>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</si>
  <si>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</si>
  <si>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</si>
  <si>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</si>
  <si>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</si>
  <si>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</si>
  <si>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</si>
  <si>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</si>
  <si>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</si>
  <si>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</si>
  <si>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</si>
  <si>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</si>
  <si>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</si>
  <si>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</si>
  <si>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</si>
  <si>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</si>
  <si>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</si>
  <si>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</si>
  <si>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</si>
  <si>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</si>
  <si>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9302000</t>
  </si>
  <si>
    <t>Misc General Expenses</t>
  </si>
  <si>
    <t>9302003</t>
  </si>
  <si>
    <t>Corporate &amp; Fiscal Expenses</t>
  </si>
  <si>
    <t>9302007</t>
  </si>
  <si>
    <t>Assoc Business Development Exp</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</si>
  <si>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</si>
  <si>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</si>
  <si>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</si>
  <si>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</si>
  <si>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</si>
  <si>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</si>
  <si>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</si>
  <si>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</si>
  <si>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</si>
  <si>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</si>
  <si>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</si>
  <si>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</si>
  <si>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</si>
  <si>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5.12</t>
  </si>
  <si>
    <t>WS B - 1 Col B/C, ADIT Item 5.13</t>
  </si>
  <si>
    <t>12/31/2022 Ending Balance</t>
  </si>
  <si>
    <t>1/1/2022 Beginning  Balances</t>
  </si>
  <si>
    <t>For Year Ended December 31, 2023</t>
  </si>
  <si>
    <t>9302004</t>
  </si>
  <si>
    <t>1650001</t>
  </si>
  <si>
    <t>Prepaid Insurance</t>
  </si>
  <si>
    <t>Prepaid Insurance - EIS</t>
  </si>
  <si>
    <t>1650024</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</si>
  <si>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</si>
  <si>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</si>
  <si>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</si>
  <si>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</si>
  <si>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</si>
  <si>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</si>
  <si>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</si>
  <si>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</si>
  <si>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</si>
  <si>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</si>
  <si>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</si>
  <si>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</si>
  <si>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</si>
  <si>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</si>
  <si>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</si>
  <si>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</si>
  <si>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</si>
  <si>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</si>
  <si>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</si>
  <si>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</si>
  <si>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</si>
  <si>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</si>
  <si>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</si>
  <si>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</si>
  <si>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</si>
  <si>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</si>
  <si>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</si>
  <si>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</si>
  <si>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</si>
  <si>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</si>
  <si>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</si>
  <si>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</si>
  <si>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</si>
  <si>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</si>
  <si>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</si>
  <si>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</si>
  <si>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</si>
  <si>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</si>
  <si>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</si>
  <si>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</si>
  <si>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</si>
  <si>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</si>
  <si>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</si>
  <si>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</si>
  <si>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</si>
  <si>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</si>
  <si>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</si>
  <si>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</si>
  <si>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</si>
  <si>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</si>
  <si>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</si>
  <si>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</si>
  <si>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</si>
  <si>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</si>
  <si>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</si>
  <si>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</si>
  <si>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</si>
  <si>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</si>
  <si>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</si>
  <si>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</si>
  <si>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</si>
  <si>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</si>
  <si>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EFFECTIVE AS OF JANUARY 1, 2023</t>
  </si>
  <si>
    <r>
      <t xml:space="preserve">Note: </t>
    </r>
    <r>
      <rPr>
        <sz val="12"/>
        <rFont val="Arial MT"/>
      </rPr>
      <t xml:space="preserve">APCo Transco Depreciation Rates are based on the APCO VA Depr Study to be filed in Case No. PUR-2022-00002. </t>
    </r>
  </si>
  <si>
    <t>2023 Collections</t>
  </si>
  <si>
    <t>2023 Forecasted Revenue Requirement For Year 2023</t>
  </si>
  <si>
    <t>Transmission Accumulated Depreciation net of GSU, and Other Excludable Balances (Ln 28d - 42c - 42e)</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</si>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</sst>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7">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8">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49" fillId="0" borderId="0" applyFont="0" applyFill="0" applyBorder="0" applyAlignment="0" applyProtection="0"/>
    <xf numFmtId="43" fontId="137" fillId="0" borderId="0" applyFont="0" applyFill="0" applyBorder="0" applyAlignment="0" applyProtection="0"/>
    <xf numFmtId="43" fontId="14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 fillId="0" borderId="0"/>
    <xf numFmtId="0" fontId="128" fillId="0" borderId="0"/>
    <xf numFmtId="0" fontId="12" fillId="0" borderId="0"/>
    <xf numFmtId="3" fontId="12" fillId="0" borderId="0"/>
    <xf numFmtId="3" fontId="12" fillId="0" borderId="0"/>
    <xf numFmtId="3" fontId="12" fillId="0" borderId="0"/>
    <xf numFmtId="3" fontId="12" fillId="0" borderId="0"/>
    <xf numFmtId="0" fontId="149"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50" fillId="0" borderId="0"/>
    <xf numFmtId="0" fontId="12" fillId="0" borderId="0"/>
    <xf numFmtId="0" fontId="12" fillId="0" borderId="0"/>
    <xf numFmtId="0" fontId="150" fillId="0" borderId="0"/>
    <xf numFmtId="0"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3" fontId="12" fillId="0" borderId="0"/>
    <xf numFmtId="0" fontId="12" fillId="0" borderId="0"/>
    <xf numFmtId="0" fontId="14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3" fontId="12" fillId="0" borderId="0"/>
    <xf numFmtId="3" fontId="12" fillId="0" borderId="0"/>
    <xf numFmtId="0" fontId="128"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3" fillId="0" borderId="0" applyProtection="0"/>
    <xf numFmtId="0" fontId="2" fillId="0" borderId="0"/>
    <xf numFmtId="0" fontId="12" fillId="0" borderId="0"/>
    <xf numFmtId="0" fontId="12" fillId="0" borderId="0"/>
    <xf numFmtId="0" fontId="12" fillId="0" borderId="0"/>
    <xf numFmtId="172" fontId="3" fillId="0" borderId="0" applyProtection="0"/>
    <xf numFmtId="0" fontId="2" fillId="0" borderId="0"/>
    <xf numFmtId="172" fontId="3" fillId="0" borderId="0" applyProtection="0"/>
    <xf numFmtId="172" fontId="3" fillId="0" borderId="0" applyProtection="0"/>
    <xf numFmtId="0" fontId="70" fillId="0" borderId="0"/>
    <xf numFmtId="0" fontId="12" fillId="0" borderId="0"/>
    <xf numFmtId="0" fontId="3" fillId="0" borderId="0"/>
    <xf numFmtId="0" fontId="12" fillId="0" borderId="0"/>
    <xf numFmtId="0" fontId="2" fillId="0" borderId="0"/>
    <xf numFmtId="0" fontId="129" fillId="0" borderId="0"/>
    <xf numFmtId="0" fontId="110"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cellStyleXfs>
  <cellXfs count="1581">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xf numFmtId="0" fontId="9" fillId="0" borderId="0" xfId="248" applyFont="1" applyFill="1" applyAlignment="1">
      <alignment horizontal="center"/>
    </xf>
    <xf numFmtId="0" fontId="15" fillId="0" borderId="0" xfId="248" applyFont="1" applyFill="1"/>
    <xf numFmtId="0" fontId="0" fillId="0" borderId="0" xfId="0" applyBorder="1"/>
    <xf numFmtId="0" fontId="4" fillId="0" borderId="0" xfId="0" applyFont="1"/>
    <xf numFmtId="0" fontId="0" fillId="0" borderId="0" xfId="0" applyFill="1"/>
    <xf numFmtId="0" fontId="12" fillId="0" borderId="0" xfId="248" applyFont="1" applyFill="1"/>
    <xf numFmtId="0" fontId="15" fillId="0" borderId="0" xfId="248" applyFont="1" applyFill="1" applyAlignment="1">
      <alignment horizontal="left"/>
    </xf>
    <xf numFmtId="3" fontId="12" fillId="0" borderId="0" xfId="0" applyNumberFormat="1" applyFont="1" applyFill="1"/>
    <xf numFmtId="0" fontId="5" fillId="0" borderId="0" xfId="248" applyFont="1" applyFill="1" applyAlignment="1">
      <alignment horizontal="right"/>
    </xf>
    <xf numFmtId="40" fontId="12" fillId="0" borderId="0" xfId="0" applyNumberFormat="1" applyFont="1" applyFill="1"/>
    <xf numFmtId="0" fontId="12" fillId="0" borderId="0" xfId="248" applyFont="1"/>
    <xf numFmtId="0" fontId="5" fillId="0" borderId="0" xfId="248" applyFont="1" applyFill="1"/>
    <xf numFmtId="0" fontId="9" fillId="0" borderId="0" xfId="248" applyFont="1" applyFill="1" applyBorder="1" applyAlignment="1">
      <alignment horizontal="left"/>
    </xf>
    <xf numFmtId="0" fontId="12" fillId="0" borderId="0" xfId="248" applyFont="1" applyAlignment="1">
      <alignment horizontal="left"/>
    </xf>
    <xf numFmtId="0" fontId="6" fillId="0" borderId="0" xfId="248" applyFont="1" applyFill="1" applyAlignment="1">
      <alignment horizontal="center"/>
    </xf>
    <xf numFmtId="0" fontId="26" fillId="0" borderId="0" xfId="0" applyFont="1" applyFill="1"/>
    <xf numFmtId="0" fontId="5" fillId="0" borderId="0" xfId="0" applyFont="1" applyAlignment="1">
      <alignment horizontal="center"/>
    </xf>
    <xf numFmtId="3" fontId="19" fillId="0" borderId="0" xfId="0" applyNumberFormat="1" applyFont="1" applyFill="1" applyAlignment="1"/>
    <xf numFmtId="41" fontId="27" fillId="0" borderId="0" xfId="248" applyNumberFormat="1" applyFont="1" applyFill="1" applyBorder="1"/>
    <xf numFmtId="0" fontId="28" fillId="0" borderId="0" xfId="248" applyFont="1" applyFill="1" applyAlignment="1">
      <alignment horizontal="left"/>
    </xf>
    <xf numFmtId="0" fontId="26" fillId="0" borderId="0" xfId="248" applyFont="1" applyFill="1"/>
    <xf numFmtId="41" fontId="26" fillId="0" borderId="0" xfId="248" applyNumberFormat="1" applyFont="1" applyFill="1"/>
    <xf numFmtId="41" fontId="26" fillId="0" borderId="0" xfId="248" applyNumberFormat="1" applyFont="1" applyFill="1" applyBorder="1" applyAlignment="1">
      <alignment vertical="top"/>
    </xf>
    <xf numFmtId="181" fontId="26" fillId="0" borderId="0" xfId="248" applyNumberFormat="1" applyFont="1" applyFill="1"/>
    <xf numFmtId="41" fontId="26" fillId="0" borderId="0" xfId="248" applyNumberFormat="1" applyFont="1" applyFill="1" applyBorder="1"/>
    <xf numFmtId="0" fontId="26" fillId="0" borderId="0" xfId="248" applyFont="1" applyFill="1" applyAlignment="1">
      <alignment horizontal="left"/>
    </xf>
    <xf numFmtId="0" fontId="29" fillId="0" borderId="0" xfId="248" applyFont="1" applyFill="1" applyBorder="1"/>
    <xf numFmtId="0" fontId="26" fillId="0" borderId="0" xfId="248" applyFont="1" applyFill="1" applyAlignment="1">
      <alignment horizontal="center"/>
    </xf>
    <xf numFmtId="0" fontId="10" fillId="0" borderId="0" xfId="248" applyFont="1" applyFill="1" applyAlignment="1">
      <alignment horizontal="center"/>
    </xf>
    <xf numFmtId="173" fontId="26" fillId="0" borderId="0" xfId="248" applyNumberFormat="1" applyFont="1" applyFill="1"/>
    <xf numFmtId="173" fontId="26" fillId="0" borderId="0" xfId="248" applyNumberFormat="1" applyFont="1" applyFill="1" applyBorder="1" applyAlignment="1">
      <alignment vertical="top"/>
    </xf>
    <xf numFmtId="41" fontId="26" fillId="0" borderId="13" xfId="248" applyNumberFormat="1" applyFont="1" applyFill="1" applyBorder="1"/>
    <xf numFmtId="173" fontId="6" fillId="0" borderId="0" xfId="86" applyNumberFormat="1" applyFont="1" applyFill="1" applyAlignment="1">
      <alignment horizontal="center"/>
    </xf>
    <xf numFmtId="0" fontId="5" fillId="0" borderId="0" xfId="248" applyFont="1" applyFill="1" applyAlignment="1">
      <alignment horizontal="center"/>
    </xf>
    <xf numFmtId="0" fontId="30" fillId="0" borderId="0" xfId="248" applyFont="1" applyFill="1" applyBorder="1"/>
    <xf numFmtId="0" fontId="10" fillId="0" borderId="0" xfId="248" applyFont="1" applyAlignment="1">
      <alignment horizontal="center"/>
    </xf>
    <xf numFmtId="41" fontId="5" fillId="0" borderId="13" xfId="248" applyNumberFormat="1" applyFont="1" applyFill="1" applyBorder="1"/>
    <xf numFmtId="38" fontId="12" fillId="0" borderId="0" xfId="0" applyNumberFormat="1" applyFont="1" applyFill="1" applyBorder="1" applyAlignment="1"/>
    <xf numFmtId="40" fontId="26" fillId="0" borderId="0" xfId="248" applyNumberFormat="1" applyFont="1" applyFill="1"/>
    <xf numFmtId="3" fontId="12" fillId="0" borderId="0" xfId="0" applyNumberFormat="1" applyFont="1"/>
    <xf numFmtId="40" fontId="12" fillId="0" borderId="0" xfId="0" applyNumberFormat="1" applyFont="1"/>
    <xf numFmtId="43" fontId="5" fillId="0" borderId="0" xfId="248" applyNumberFormat="1" applyFont="1" applyFill="1"/>
    <xf numFmtId="3" fontId="5" fillId="0" borderId="0" xfId="0" applyNumberFormat="1" applyFont="1" applyFill="1" applyAlignment="1"/>
    <xf numFmtId="41" fontId="27" fillId="25" borderId="0" xfId="248" applyNumberFormat="1" applyFont="1" applyFill="1" applyBorder="1"/>
    <xf numFmtId="0" fontId="32" fillId="0" borderId="0" xfId="0" applyFont="1" applyFill="1"/>
    <xf numFmtId="0" fontId="19" fillId="0" borderId="0" xfId="248" applyFont="1" applyFill="1"/>
    <xf numFmtId="0" fontId="12" fillId="0" borderId="0" xfId="248" applyFont="1" applyAlignment="1">
      <alignment horizontal="center"/>
    </xf>
    <xf numFmtId="0" fontId="5" fillId="0" borderId="0" xfId="207" applyFont="1" applyBorder="1" applyAlignment="1">
      <alignment horizontal="center"/>
    </xf>
    <xf numFmtId="49" fontId="5" fillId="0" borderId="0" xfId="248" applyNumberFormat="1" applyFont="1" applyAlignment="1">
      <alignment horizontal="center"/>
    </xf>
    <xf numFmtId="3" fontId="5" fillId="0" borderId="0" xfId="0" applyNumberFormat="1" applyFont="1" applyFill="1" applyAlignment="1">
      <alignment horizontal="center"/>
    </xf>
    <xf numFmtId="3" fontId="10" fillId="0" borderId="0" xfId="0" applyNumberFormat="1" applyFont="1" applyFill="1" applyAlignment="1">
      <alignment horizontal="center"/>
    </xf>
    <xf numFmtId="0" fontId="12" fillId="0" borderId="0" xfId="0" applyFont="1" applyAlignment="1">
      <alignment horizontal="center"/>
    </xf>
    <xf numFmtId="0" fontId="71" fillId="0" borderId="0" xfId="256" applyFont="1"/>
    <xf numFmtId="185" fontId="18" fillId="0" borderId="0" xfId="256" applyNumberFormat="1" applyFont="1" applyAlignment="1">
      <alignment horizontal="center"/>
    </xf>
    <xf numFmtId="0" fontId="12" fillId="0" borderId="0" xfId="256" applyFont="1"/>
    <xf numFmtId="0" fontId="18" fillId="0" borderId="0" xfId="256" applyFont="1"/>
    <xf numFmtId="0" fontId="18" fillId="0" borderId="0" xfId="256" applyNumberFormat="1" applyFont="1" applyAlignment="1">
      <alignment horizontal="center"/>
    </xf>
    <xf numFmtId="0" fontId="18" fillId="0" borderId="0" xfId="256" applyNumberFormat="1" applyFont="1"/>
    <xf numFmtId="0" fontId="18" fillId="0" borderId="0" xfId="256" applyNumberFormat="1" applyFont="1" applyBorder="1" applyAlignment="1">
      <alignment horizontal="center"/>
    </xf>
    <xf numFmtId="0" fontId="73" fillId="0" borderId="0" xfId="256" applyFont="1"/>
    <xf numFmtId="0" fontId="74" fillId="0" borderId="0" xfId="256" applyFont="1"/>
    <xf numFmtId="185" fontId="12" fillId="0" borderId="0" xfId="256" applyNumberFormat="1" applyFont="1"/>
    <xf numFmtId="0" fontId="75" fillId="0" borderId="0" xfId="253" applyFont="1" applyFill="1" applyAlignment="1">
      <alignment horizontal="center"/>
    </xf>
    <xf numFmtId="0" fontId="75" fillId="0" borderId="0" xfId="253" applyFont="1" applyFill="1" applyAlignment="1">
      <alignment horizontal="left" indent="2"/>
    </xf>
    <xf numFmtId="39" fontId="75" fillId="0" borderId="0" xfId="253" applyNumberFormat="1" applyFont="1" applyFill="1"/>
    <xf numFmtId="0" fontId="71" fillId="0" borderId="0" xfId="256" applyFont="1" applyFill="1"/>
    <xf numFmtId="0" fontId="12" fillId="0" borderId="0" xfId="256" applyNumberFormat="1" applyFont="1" applyAlignment="1">
      <alignment horizontal="center"/>
    </xf>
    <xf numFmtId="0" fontId="12" fillId="0" borderId="0" xfId="256" applyNumberFormat="1" applyFont="1"/>
    <xf numFmtId="173" fontId="71" fillId="0" borderId="14" xfId="86" applyNumberFormat="1" applyFont="1" applyBorder="1"/>
    <xf numFmtId="0" fontId="71" fillId="0" borderId="0" xfId="0" applyFont="1"/>
    <xf numFmtId="173" fontId="0" fillId="0" borderId="0" xfId="0" applyNumberFormat="1"/>
    <xf numFmtId="0" fontId="80" fillId="0" borderId="0" xfId="248" applyFont="1" applyFill="1" applyBorder="1" applyAlignment="1">
      <alignment horizontal="left"/>
    </xf>
    <xf numFmtId="0" fontId="4" fillId="0" borderId="0" xfId="0" applyFont="1" applyAlignment="1">
      <alignment horizontal="center"/>
    </xf>
    <xf numFmtId="0" fontId="4" fillId="0" borderId="0" xfId="207" applyFont="1" applyBorder="1" applyAlignment="1">
      <alignment horizontal="center"/>
    </xf>
    <xf numFmtId="0" fontId="12" fillId="0" borderId="0" xfId="256" applyNumberFormat="1" applyFont="1" applyFill="1"/>
    <xf numFmtId="173" fontId="71" fillId="0" borderId="0" xfId="256" applyNumberFormat="1" applyFont="1" applyFill="1"/>
    <xf numFmtId="3" fontId="4" fillId="0" borderId="0" xfId="0" applyNumberFormat="1" applyFont="1" applyAlignment="1">
      <alignment horizontal="center"/>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5" fillId="0" borderId="0" xfId="248" applyFont="1"/>
    <xf numFmtId="0" fontId="2" fillId="0" borderId="0" xfId="248" applyAlignment="1">
      <alignment horizontal="left"/>
    </xf>
    <xf numFmtId="0" fontId="2" fillId="0" borderId="0" xfId="248"/>
    <xf numFmtId="0" fontId="15" fillId="0" borderId="0" xfId="248" applyFont="1" applyAlignment="1">
      <alignment horizontal="left"/>
    </xf>
    <xf numFmtId="0" fontId="14" fillId="0" borderId="0" xfId="248" applyFont="1" applyFill="1"/>
    <xf numFmtId="0" fontId="83" fillId="0" borderId="0" xfId="248" applyFont="1" applyFill="1"/>
    <xf numFmtId="9" fontId="10" fillId="0" borderId="0" xfId="248" quotePrefix="1" applyNumberFormat="1" applyFont="1" applyFill="1" applyAlignment="1">
      <alignment horizontal="center"/>
    </xf>
    <xf numFmtId="0" fontId="4" fillId="0" borderId="0" xfId="256" applyNumberFormat="1" applyFont="1" applyAlignment="1">
      <alignment horizontal="center"/>
    </xf>
    <xf numFmtId="0" fontId="4" fillId="0" borderId="0" xfId="256" applyNumberFormat="1" applyFont="1"/>
    <xf numFmtId="185" fontId="4" fillId="0" borderId="0" xfId="256" applyNumberFormat="1" applyFont="1" applyAlignment="1">
      <alignment horizontal="center"/>
    </xf>
    <xf numFmtId="0" fontId="4" fillId="0" borderId="11" xfId="256" applyNumberFormat="1" applyFont="1" applyBorder="1" applyAlignment="1">
      <alignment horizontal="center"/>
    </xf>
    <xf numFmtId="185" fontId="4" fillId="0" borderId="11" xfId="256" applyNumberFormat="1" applyFont="1" applyBorder="1" applyAlignment="1">
      <alignment horizontal="center"/>
    </xf>
    <xf numFmtId="174" fontId="0" fillId="0" borderId="0" xfId="115"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64" fontId="0" fillId="0" borderId="0" xfId="267" applyNumberFormat="1" applyFont="1"/>
    <xf numFmtId="173" fontId="89" fillId="0" borderId="0" xfId="256" applyNumberFormat="1" applyFont="1" applyFill="1" applyBorder="1"/>
    <xf numFmtId="0" fontId="23" fillId="0" borderId="0" xfId="248" applyFont="1" applyFill="1" applyAlignment="1">
      <alignment horizontal="center"/>
    </xf>
    <xf numFmtId="0" fontId="92" fillId="0" borderId="0" xfId="248" applyFont="1" applyFill="1" applyBorder="1"/>
    <xf numFmtId="0" fontId="32" fillId="0" borderId="0" xfId="0" applyFont="1"/>
    <xf numFmtId="173" fontId="0" fillId="0" borderId="14" xfId="0" applyNumberFormat="1" applyBorder="1"/>
    <xf numFmtId="9" fontId="0" fillId="0" borderId="0" xfId="267" applyFont="1"/>
    <xf numFmtId="0" fontId="94" fillId="0" borderId="0" xfId="0" applyFont="1" applyAlignment="1">
      <alignment horizontal="center" wrapText="1"/>
    </xf>
    <xf numFmtId="0" fontId="18" fillId="0" borderId="0" xfId="253" applyFont="1" applyFill="1" applyAlignment="1">
      <alignment horizontal="center"/>
    </xf>
    <xf numFmtId="190" fontId="98" fillId="0" borderId="0" xfId="207" applyNumberFormat="1" applyFont="1" applyFill="1" applyBorder="1" applyAlignment="1">
      <alignment horizontal="center"/>
    </xf>
    <xf numFmtId="38" fontId="0" fillId="0" borderId="0" xfId="0" applyNumberFormat="1" applyBorder="1"/>
    <xf numFmtId="0" fontId="2" fillId="0" borderId="0" xfId="0" applyFont="1"/>
    <xf numFmtId="0" fontId="6" fillId="0" borderId="0" xfId="248" applyFont="1" applyFill="1" applyBorder="1" applyAlignment="1">
      <alignment horizontal="center"/>
    </xf>
    <xf numFmtId="0" fontId="5" fillId="0" borderId="0" xfId="0" applyFont="1" applyBorder="1" applyAlignment="1">
      <alignment horizontal="center"/>
    </xf>
    <xf numFmtId="0" fontId="4" fillId="0" borderId="0" xfId="256" applyNumberFormat="1" applyFont="1" applyBorder="1" applyAlignment="1">
      <alignment horizontal="center"/>
    </xf>
    <xf numFmtId="0" fontId="12" fillId="0" borderId="0" xfId="256" applyFont="1" applyBorder="1"/>
    <xf numFmtId="0" fontId="4" fillId="0" borderId="11" xfId="256" applyNumberFormat="1" applyFont="1" applyBorder="1"/>
    <xf numFmtId="185" fontId="4" fillId="0" borderId="0" xfId="256" applyNumberFormat="1" applyFont="1" applyBorder="1" applyAlignment="1">
      <alignment horizontal="center"/>
    </xf>
    <xf numFmtId="0" fontId="12" fillId="0" borderId="0" xfId="256" applyFont="1" applyFill="1"/>
    <xf numFmtId="173" fontId="78" fillId="0" borderId="0" xfId="256" applyNumberFormat="1" applyFont="1" applyFill="1" applyBorder="1"/>
    <xf numFmtId="0" fontId="71" fillId="0" borderId="0" xfId="256" applyFont="1" applyAlignment="1">
      <alignment horizontal="center"/>
    </xf>
    <xf numFmtId="0" fontId="18" fillId="0" borderId="0" xfId="256" applyFont="1" applyFill="1"/>
    <xf numFmtId="3" fontId="78" fillId="0" borderId="0" xfId="256" applyNumberFormat="1" applyFont="1" applyFill="1" applyBorder="1"/>
    <xf numFmtId="173" fontId="78" fillId="0" borderId="0" xfId="256" applyNumberFormat="1" applyFont="1" applyFill="1"/>
    <xf numFmtId="173" fontId="71" fillId="0" borderId="0" xfId="256" applyNumberFormat="1" applyFont="1" applyFill="1" applyBorder="1"/>
    <xf numFmtId="0" fontId="71" fillId="0" borderId="0" xfId="256" applyFont="1" applyFill="1" applyBorder="1"/>
    <xf numFmtId="38" fontId="22" fillId="0" borderId="0" xfId="0" applyNumberFormat="1" applyFont="1" applyBorder="1"/>
    <xf numFmtId="176" fontId="3" fillId="0" borderId="15" xfId="258" applyNumberFormat="1" applyBorder="1" applyProtection="1"/>
    <xf numFmtId="176" fontId="3" fillId="0" borderId="0" xfId="258" applyNumberFormat="1" applyBorder="1" applyProtection="1"/>
    <xf numFmtId="49" fontId="5" fillId="0" borderId="0" xfId="86" applyNumberFormat="1" applyFont="1" applyAlignment="1">
      <alignment horizontal="center"/>
    </xf>
    <xf numFmtId="0" fontId="99" fillId="0" borderId="0" xfId="256" applyFont="1" applyFill="1" applyBorder="1"/>
    <xf numFmtId="0" fontId="119" fillId="0" borderId="0" xfId="256" applyFont="1"/>
    <xf numFmtId="0" fontId="32" fillId="0" borderId="0" xfId="248" applyFont="1" applyFill="1" applyBorder="1"/>
    <xf numFmtId="0" fontId="107" fillId="0" borderId="0" xfId="248" applyFont="1" applyFill="1" applyAlignment="1">
      <alignment horizontal="center"/>
    </xf>
    <xf numFmtId="0" fontId="12" fillId="0" borderId="0" xfId="248" applyFont="1" applyFill="1" applyBorder="1"/>
    <xf numFmtId="0" fontId="94" fillId="0" borderId="0" xfId="0" applyFont="1" applyAlignment="1">
      <alignment horizontal="center"/>
    </xf>
    <xf numFmtId="10" fontId="3" fillId="0" borderId="0" xfId="258" applyNumberFormat="1" applyFill="1" applyProtection="1"/>
    <xf numFmtId="41" fontId="19" fillId="30" borderId="6" xfId="255" applyNumberFormat="1" applyFont="1" applyFill="1" applyBorder="1" applyAlignment="1" applyProtection="1">
      <protection locked="0"/>
    </xf>
    <xf numFmtId="3" fontId="19" fillId="30" borderId="0" xfId="255" applyNumberFormat="1" applyFont="1" applyFill="1" applyAlignment="1" applyProtection="1">
      <protection locked="0"/>
    </xf>
    <xf numFmtId="41" fontId="5" fillId="30" borderId="0" xfId="255" applyNumberFormat="1" applyFont="1" applyFill="1" applyAlignment="1" applyProtection="1">
      <protection locked="0"/>
    </xf>
    <xf numFmtId="173" fontId="19" fillId="30" borderId="0" xfId="86" applyNumberFormat="1" applyFont="1" applyFill="1" applyAlignment="1" applyProtection="1">
      <alignment horizontal="right"/>
      <protection locked="0"/>
    </xf>
    <xf numFmtId="41" fontId="19" fillId="30" borderId="0" xfId="255" applyNumberFormat="1" applyFont="1" applyFill="1" applyAlignment="1" applyProtection="1">
      <protection locked="0"/>
    </xf>
    <xf numFmtId="173" fontId="8" fillId="30" borderId="0" xfId="86" applyNumberFormat="1" applyFont="1" applyFill="1" applyProtection="1">
      <protection locked="0"/>
    </xf>
    <xf numFmtId="173" fontId="8" fillId="30" borderId="11" xfId="86" applyNumberFormat="1" applyFont="1" applyFill="1" applyBorder="1" applyAlignment="1" applyProtection="1">
      <protection locked="0"/>
    </xf>
    <xf numFmtId="10" fontId="19" fillId="30" borderId="0" xfId="255" applyNumberFormat="1" applyFont="1" applyFill="1" applyProtection="1">
      <protection locked="0"/>
    </xf>
    <xf numFmtId="41" fontId="19" fillId="30" borderId="0" xfId="255" applyNumberFormat="1" applyFont="1" applyFill="1" applyAlignment="1" applyProtection="1">
      <alignment vertical="center"/>
      <protection locked="0"/>
    </xf>
    <xf numFmtId="0" fontId="6" fillId="0" borderId="0" xfId="0" applyFont="1"/>
    <xf numFmtId="10" fontId="19" fillId="31" borderId="0" xfId="267" applyNumberFormat="1" applyFont="1" applyFill="1" applyAlignment="1" applyProtection="1">
      <protection locked="0"/>
    </xf>
    <xf numFmtId="173" fontId="78" fillId="32" borderId="0" xfId="256" applyNumberFormat="1" applyFont="1" applyFill="1"/>
    <xf numFmtId="194" fontId="3" fillId="0" borderId="0" xfId="258" applyNumberFormat="1" applyFill="1" applyProtection="1"/>
    <xf numFmtId="172" fontId="3" fillId="0" borderId="0" xfId="255" applyFont="1" applyAlignment="1" applyProtection="1"/>
    <xf numFmtId="172" fontId="5" fillId="0" borderId="0" xfId="255" applyFont="1" applyAlignment="1" applyProtection="1"/>
    <xf numFmtId="0" fontId="0" fillId="0" borderId="0" xfId="0" applyBorder="1" applyProtection="1"/>
    <xf numFmtId="0" fontId="6" fillId="0" borderId="0" xfId="255" applyNumberFormat="1" applyFont="1" applyBorder="1" applyAlignment="1" applyProtection="1">
      <alignment horizontal="left"/>
    </xf>
    <xf numFmtId="14" fontId="6" fillId="0" borderId="0" xfId="255" applyNumberFormat="1" applyFont="1" applyBorder="1" applyAlignment="1" applyProtection="1"/>
    <xf numFmtId="172" fontId="6" fillId="0" borderId="0" xfId="255" applyFont="1" applyFill="1" applyAlignment="1" applyProtection="1"/>
    <xf numFmtId="172" fontId="5" fillId="0" borderId="0" xfId="255" applyFont="1" applyFill="1" applyAlignment="1" applyProtection="1"/>
    <xf numFmtId="0" fontId="19" fillId="32" borderId="0" xfId="86" applyNumberFormat="1" applyFont="1" applyFill="1" applyAlignment="1" applyProtection="1"/>
    <xf numFmtId="0" fontId="5" fillId="0" borderId="0" xfId="255"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55" applyNumberFormat="1" applyFont="1" applyProtection="1"/>
    <xf numFmtId="0" fontId="5" fillId="0" borderId="0" xfId="255" applyNumberFormat="1" applyFont="1" applyAlignment="1" applyProtection="1">
      <alignment horizontal="right"/>
    </xf>
    <xf numFmtId="0" fontId="19" fillId="0" borderId="0" xfId="86" applyNumberFormat="1" applyFont="1" applyFill="1" applyAlignment="1" applyProtection="1"/>
    <xf numFmtId="3" fontId="5" fillId="0" borderId="0" xfId="255" applyNumberFormat="1" applyFont="1" applyAlignment="1" applyProtection="1"/>
    <xf numFmtId="3" fontId="5" fillId="0" borderId="0" xfId="0" applyNumberFormat="1" applyFont="1" applyAlignment="1" applyProtection="1">
      <alignment horizontal="center"/>
    </xf>
    <xf numFmtId="0" fontId="3" fillId="0" borderId="0" xfId="255" applyNumberFormat="1" applyFont="1" applyAlignment="1" applyProtection="1">
      <alignment horizontal="center"/>
    </xf>
    <xf numFmtId="0" fontId="5" fillId="0" borderId="0" xfId="255" applyNumberFormat="1" applyFont="1" applyAlignment="1" applyProtection="1">
      <alignment horizontal="center"/>
    </xf>
    <xf numFmtId="49" fontId="5" fillId="0" borderId="0" xfId="255"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55" applyNumberFormat="1" applyFont="1" applyProtection="1"/>
    <xf numFmtId="39" fontId="5" fillId="0" borderId="0" xfId="86" applyNumberFormat="1" applyFont="1" applyAlignment="1" applyProtection="1">
      <alignment horizontal="center"/>
    </xf>
    <xf numFmtId="0" fontId="3" fillId="0" borderId="6" xfId="255" applyNumberFormat="1" applyFont="1" applyBorder="1" applyAlignment="1" applyProtection="1">
      <alignment horizontal="center"/>
    </xf>
    <xf numFmtId="0" fontId="5" fillId="0" borderId="0" xfId="255" applyNumberFormat="1" applyFont="1" applyBorder="1" applyAlignment="1" applyProtection="1">
      <alignment horizontal="center"/>
    </xf>
    <xf numFmtId="0" fontId="5" fillId="0" borderId="6" xfId="255" applyNumberFormat="1" applyFont="1" applyBorder="1" applyAlignment="1" applyProtection="1">
      <alignment horizontal="center"/>
    </xf>
    <xf numFmtId="0" fontId="5" fillId="0" borderId="0" xfId="0" applyNumberFormat="1" applyFont="1" applyProtection="1"/>
    <xf numFmtId="0" fontId="5" fillId="0" borderId="0" xfId="255" applyNumberFormat="1" applyFont="1" applyFill="1" applyProtection="1"/>
    <xf numFmtId="3" fontId="5" fillId="0" borderId="0" xfId="255" applyNumberFormat="1" applyFont="1" applyProtection="1"/>
    <xf numFmtId="0" fontId="5" fillId="0" borderId="0" xfId="255" applyNumberFormat="1" applyFont="1" applyAlignment="1" applyProtection="1">
      <alignment horizontal="left"/>
    </xf>
    <xf numFmtId="170" fontId="5" fillId="0" borderId="0" xfId="255" applyNumberFormat="1" applyFont="1" applyProtection="1"/>
    <xf numFmtId="3" fontId="5" fillId="0" borderId="0" xfId="255" applyNumberFormat="1" applyFont="1" applyFill="1" applyAlignment="1" applyProtection="1">
      <alignment horizontal="left"/>
    </xf>
    <xf numFmtId="3" fontId="5" fillId="0" borderId="0" xfId="255" applyNumberFormat="1" applyFont="1" applyFill="1" applyAlignment="1" applyProtection="1"/>
    <xf numFmtId="0" fontId="5" fillId="0" borderId="6" xfId="255" applyNumberFormat="1" applyFont="1" applyBorder="1" applyAlignment="1" applyProtection="1">
      <alignment horizontal="centerContinuous"/>
    </xf>
    <xf numFmtId="0" fontId="5" fillId="0" borderId="0" xfId="0" applyNumberFormat="1" applyFont="1" applyAlignment="1" applyProtection="1"/>
    <xf numFmtId="41" fontId="5" fillId="0" borderId="0" xfId="255" applyNumberFormat="1" applyFont="1" applyFill="1" applyBorder="1" applyAlignment="1" applyProtection="1"/>
    <xf numFmtId="3" fontId="5" fillId="0" borderId="0" xfId="255" applyNumberFormat="1" applyFont="1" applyFill="1" applyAlignment="1" applyProtection="1">
      <alignment horizontal="center"/>
    </xf>
    <xf numFmtId="165" fontId="5" fillId="0" borderId="0" xfId="255" applyNumberFormat="1" applyFont="1" applyFill="1" applyAlignment="1" applyProtection="1">
      <alignment horizontal="right"/>
    </xf>
    <xf numFmtId="42" fontId="5" fillId="0" borderId="0" xfId="255" applyNumberFormat="1" applyFont="1" applyBorder="1" applyAlignment="1" applyProtection="1"/>
    <xf numFmtId="0" fontId="3" fillId="0" borderId="0" xfId="255" applyNumberFormat="1" applyFont="1" applyFill="1" applyAlignment="1" applyProtection="1">
      <alignment horizontal="center"/>
    </xf>
    <xf numFmtId="0" fontId="5" fillId="0" borderId="0" xfId="255"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55" applyNumberFormat="1" applyFont="1" applyAlignment="1" applyProtection="1">
      <alignment horizontal="left"/>
    </xf>
    <xf numFmtId="3" fontId="5" fillId="0" borderId="0" xfId="255" applyNumberFormat="1" applyFont="1" applyAlignment="1" applyProtection="1">
      <alignment horizontal="center"/>
    </xf>
    <xf numFmtId="174" fontId="5" fillId="0" borderId="14" xfId="255" applyNumberFormat="1" applyFont="1" applyBorder="1" applyAlignment="1" applyProtection="1"/>
    <xf numFmtId="42" fontId="5" fillId="0" borderId="0" xfId="255" applyNumberFormat="1" applyFont="1" applyAlignment="1" applyProtection="1"/>
    <xf numFmtId="172" fontId="77" fillId="0" borderId="0" xfId="255" applyFont="1" applyAlignment="1" applyProtection="1">
      <alignment horizontal="center" wrapText="1"/>
    </xf>
    <xf numFmtId="0" fontId="5" fillId="0" borderId="0" xfId="0" applyNumberFormat="1" applyFont="1" applyFill="1" applyAlignment="1" applyProtection="1"/>
    <xf numFmtId="42" fontId="5" fillId="0" borderId="0" xfId="255" applyNumberFormat="1" applyFont="1" applyFill="1" applyAlignment="1" applyProtection="1"/>
    <xf numFmtId="41" fontId="5" fillId="0" borderId="0" xfId="255" applyNumberFormat="1" applyFont="1" applyFill="1" applyAlignment="1" applyProtection="1"/>
    <xf numFmtId="43" fontId="5" fillId="0" borderId="0" xfId="86" applyFont="1" applyProtection="1"/>
    <xf numFmtId="0" fontId="5" fillId="0" borderId="0" xfId="255" applyNumberFormat="1" applyFont="1" applyFill="1" applyAlignment="1" applyProtection="1"/>
    <xf numFmtId="171" fontId="5" fillId="0" borderId="0" xfId="255" applyNumberFormat="1" applyFont="1" applyProtection="1"/>
    <xf numFmtId="10" fontId="5" fillId="0" borderId="0" xfId="255" applyNumberFormat="1" applyFont="1" applyAlignment="1" applyProtection="1"/>
    <xf numFmtId="10" fontId="5" fillId="0" borderId="0" xfId="255" applyNumberFormat="1" applyFont="1" applyProtection="1"/>
    <xf numFmtId="0" fontId="32" fillId="0" borderId="0" xfId="0" applyFont="1" applyProtection="1"/>
    <xf numFmtId="10" fontId="5" fillId="0" borderId="0" xfId="267" applyNumberFormat="1" applyFont="1" applyFill="1" applyAlignment="1" applyProtection="1"/>
    <xf numFmtId="186" fontId="5" fillId="0" borderId="0" xfId="255" applyNumberFormat="1" applyFont="1" applyProtection="1"/>
    <xf numFmtId="0" fontId="5" fillId="0" borderId="0" xfId="0" applyNumberFormat="1" applyFont="1" applyFill="1" applyProtection="1"/>
    <xf numFmtId="41" fontId="5" fillId="0" borderId="0" xfId="255" applyNumberFormat="1" applyFont="1" applyAlignment="1" applyProtection="1">
      <alignment horizontal="center"/>
    </xf>
    <xf numFmtId="41" fontId="5" fillId="0" borderId="14" xfId="255" applyNumberFormat="1" applyFont="1" applyBorder="1" applyAlignment="1" applyProtection="1">
      <alignment horizontal="center"/>
    </xf>
    <xf numFmtId="41" fontId="5" fillId="0" borderId="0" xfId="255" applyNumberFormat="1" applyFont="1" applyAlignment="1" applyProtection="1">
      <alignment horizontal="right"/>
    </xf>
    <xf numFmtId="42" fontId="5" fillId="0" borderId="0" xfId="267" applyNumberFormat="1" applyFont="1" applyAlignment="1" applyProtection="1"/>
    <xf numFmtId="43" fontId="5" fillId="0" borderId="0" xfId="255" applyNumberFormat="1" applyFont="1" applyAlignment="1" applyProtection="1">
      <alignment horizontal="right"/>
    </xf>
    <xf numFmtId="43" fontId="5" fillId="0" borderId="0" xfId="86" applyFont="1" applyAlignment="1" applyProtection="1"/>
    <xf numFmtId="172" fontId="5" fillId="0" borderId="0" xfId="255" applyFont="1" applyAlignment="1" applyProtection="1">
      <alignment horizontal="right"/>
    </xf>
    <xf numFmtId="0" fontId="32" fillId="0" borderId="0" xfId="0" applyFont="1" applyAlignment="1" applyProtection="1">
      <alignment horizontal="center"/>
    </xf>
    <xf numFmtId="49" fontId="5" fillId="0" borderId="0" xfId="255" applyNumberFormat="1" applyFont="1" applyAlignment="1" applyProtection="1">
      <alignment horizontal="left"/>
    </xf>
    <xf numFmtId="0" fontId="3" fillId="0" borderId="0" xfId="255" applyNumberFormat="1" applyFont="1" applyAlignment="1" applyProtection="1">
      <alignment horizontal="center" vertical="center"/>
    </xf>
    <xf numFmtId="3" fontId="6" fillId="0" borderId="0" xfId="255" applyNumberFormat="1" applyFont="1" applyAlignment="1" applyProtection="1">
      <alignment horizontal="center"/>
    </xf>
    <xf numFmtId="172" fontId="6" fillId="0" borderId="0" xfId="255" applyFont="1" applyAlignment="1" applyProtection="1">
      <alignment horizontal="center"/>
    </xf>
    <xf numFmtId="49" fontId="6" fillId="0" borderId="0" xfId="255" applyNumberFormat="1" applyFont="1" applyAlignment="1" applyProtection="1">
      <alignment horizontal="center"/>
    </xf>
    <xf numFmtId="0" fontId="10" fillId="0" borderId="0" xfId="255" applyNumberFormat="1" applyFont="1" applyAlignment="1" applyProtection="1">
      <alignment horizontal="center"/>
    </xf>
    <xf numFmtId="172" fontId="10" fillId="0" borderId="0" xfId="255" applyFont="1" applyBorder="1" applyAlignment="1" applyProtection="1">
      <alignment horizontal="center"/>
    </xf>
    <xf numFmtId="3" fontId="6" fillId="0" borderId="0" xfId="255" applyNumberFormat="1" applyFont="1" applyAlignment="1" applyProtection="1"/>
    <xf numFmtId="0" fontId="3" fillId="0" borderId="0" xfId="255" applyNumberFormat="1" applyFont="1" applyBorder="1" applyAlignment="1" applyProtection="1">
      <alignment horizontal="center"/>
    </xf>
    <xf numFmtId="3" fontId="14" fillId="0" borderId="0" xfId="255" applyNumberFormat="1" applyFont="1" applyAlignment="1" applyProtection="1">
      <alignment horizontal="center"/>
    </xf>
    <xf numFmtId="3" fontId="5" fillId="0" borderId="0" xfId="255" applyNumberFormat="1" applyFont="1" applyFill="1" applyBorder="1" applyAlignment="1" applyProtection="1">
      <alignment horizontal="center"/>
    </xf>
    <xf numFmtId="0" fontId="28" fillId="0" borderId="0" xfId="255" applyNumberFormat="1" applyFont="1" applyBorder="1" applyAlignment="1" applyProtection="1"/>
    <xf numFmtId="0" fontId="5" fillId="0" borderId="0" xfId="255" applyNumberFormat="1" applyFont="1" applyAlignment="1" applyProtection="1">
      <alignment horizontal="center" vertical="center"/>
    </xf>
    <xf numFmtId="0" fontId="5" fillId="0" borderId="0" xfId="255" applyNumberFormat="1" applyFont="1" applyBorder="1" applyAlignment="1" applyProtection="1">
      <alignment vertical="center"/>
    </xf>
    <xf numFmtId="3" fontId="5" fillId="0" borderId="0" xfId="255" applyNumberFormat="1" applyFont="1" applyFill="1" applyAlignment="1" applyProtection="1">
      <alignment vertical="center" wrapText="1"/>
    </xf>
    <xf numFmtId="3" fontId="5" fillId="0" borderId="0" xfId="255" applyNumberFormat="1" applyFont="1" applyFill="1" applyAlignment="1" applyProtection="1">
      <alignment horizontal="center" vertical="center"/>
    </xf>
    <xf numFmtId="3" fontId="5" fillId="0" borderId="0" xfId="255" applyNumberFormat="1" applyFont="1" applyFill="1" applyAlignment="1" applyProtection="1">
      <alignment vertical="center"/>
    </xf>
    <xf numFmtId="41" fontId="5" fillId="0" borderId="0" xfId="255" applyNumberFormat="1" applyFont="1" applyFill="1" applyAlignment="1" applyProtection="1">
      <alignment vertical="center"/>
    </xf>
    <xf numFmtId="3" fontId="5" fillId="0" borderId="0" xfId="255" applyNumberFormat="1" applyFont="1" applyAlignment="1" applyProtection="1">
      <alignment vertical="center"/>
    </xf>
    <xf numFmtId="0" fontId="5" fillId="0" borderId="0" xfId="255" applyNumberFormat="1" applyFont="1" applyFill="1" applyBorder="1" applyAlignment="1" applyProtection="1"/>
    <xf numFmtId="0" fontId="5" fillId="0" borderId="0" xfId="255" applyNumberFormat="1" applyFont="1" applyBorder="1" applyAlignment="1" applyProtection="1"/>
    <xf numFmtId="41" fontId="5" fillId="0" borderId="6" xfId="255" applyNumberFormat="1" applyFont="1" applyFill="1" applyBorder="1" applyAlignment="1" applyProtection="1"/>
    <xf numFmtId="0" fontId="32" fillId="0" borderId="0" xfId="0" applyFont="1" applyAlignment="1" applyProtection="1"/>
    <xf numFmtId="172" fontId="6" fillId="0" borderId="0" xfId="255" applyFont="1" applyFill="1" applyAlignment="1" applyProtection="1">
      <alignment horizontal="right"/>
    </xf>
    <xf numFmtId="178" fontId="6" fillId="0" borderId="0" xfId="255" applyNumberFormat="1" applyFont="1" applyFill="1" applyAlignment="1" applyProtection="1">
      <alignment horizontal="right"/>
    </xf>
    <xf numFmtId="166" fontId="6" fillId="0" borderId="0" xfId="255" applyNumberFormat="1" applyFont="1" applyFill="1" applyAlignment="1" applyProtection="1">
      <alignment horizontal="right"/>
    </xf>
    <xf numFmtId="178" fontId="5" fillId="0" borderId="0" xfId="255" applyNumberFormat="1" applyFont="1" applyAlignment="1" applyProtection="1"/>
    <xf numFmtId="184" fontId="5" fillId="0" borderId="0" xfId="255" applyNumberFormat="1" applyFont="1" applyFill="1" applyAlignment="1" applyProtection="1"/>
    <xf numFmtId="183" fontId="5" fillId="0" borderId="0" xfId="255" applyNumberFormat="1" applyFont="1" applyFill="1" applyAlignment="1" applyProtection="1"/>
    <xf numFmtId="3" fontId="6" fillId="0" borderId="0" xfId="255" applyNumberFormat="1" applyFont="1" applyFill="1" applyAlignment="1" applyProtection="1">
      <alignment horizontal="right" vertical="center"/>
    </xf>
    <xf numFmtId="165" fontId="5" fillId="0" borderId="0" xfId="255" applyNumberFormat="1" applyFont="1" applyFill="1" applyAlignment="1" applyProtection="1"/>
    <xf numFmtId="0" fontId="5" fillId="0" borderId="0" xfId="255" applyNumberFormat="1" applyFont="1" applyFill="1" applyAlignment="1" applyProtection="1">
      <alignment horizontal="center" vertical="center"/>
    </xf>
    <xf numFmtId="0" fontId="32" fillId="0" borderId="0" xfId="0" applyFont="1" applyAlignment="1" applyProtection="1">
      <alignment wrapText="1"/>
    </xf>
    <xf numFmtId="0" fontId="32" fillId="0" borderId="0" xfId="0" applyFont="1" applyAlignment="1" applyProtection="1">
      <alignment horizontal="center" wrapText="1"/>
    </xf>
    <xf numFmtId="164" fontId="5" fillId="0" borderId="0" xfId="255" applyNumberFormat="1" applyFont="1" applyFill="1" applyAlignment="1" applyProtection="1">
      <alignment horizontal="center"/>
    </xf>
    <xf numFmtId="0" fontId="3" fillId="32" borderId="0" xfId="255" applyNumberFormat="1" applyFont="1" applyFill="1" applyAlignment="1" applyProtection="1">
      <alignment horizontal="center"/>
    </xf>
    <xf numFmtId="41" fontId="5" fillId="0" borderId="0" xfId="255" applyNumberFormat="1" applyFont="1" applyAlignment="1" applyProtection="1"/>
    <xf numFmtId="165" fontId="5" fillId="0" borderId="0" xfId="255" applyNumberFormat="1" applyFont="1" applyAlignment="1" applyProtection="1"/>
    <xf numFmtId="3" fontId="6" fillId="0" borderId="0" xfId="255" applyNumberFormat="1" applyFont="1" applyFill="1" applyAlignment="1" applyProtection="1">
      <alignment horizontal="right"/>
    </xf>
    <xf numFmtId="182" fontId="5" fillId="0" borderId="0" xfId="86" applyNumberFormat="1" applyFont="1" applyFill="1" applyAlignment="1" applyProtection="1"/>
    <xf numFmtId="172" fontId="5" fillId="0" borderId="0" xfId="255" applyFont="1" applyBorder="1" applyAlignment="1" applyProtection="1"/>
    <xf numFmtId="164" fontId="5" fillId="0" borderId="0" xfId="255" applyNumberFormat="1" applyFont="1" applyFill="1" applyAlignment="1" applyProtection="1">
      <alignment horizontal="left"/>
    </xf>
    <xf numFmtId="0" fontId="32" fillId="0" borderId="0" xfId="0" applyFont="1" applyFill="1" applyProtection="1"/>
    <xf numFmtId="175" fontId="5" fillId="0" borderId="0" xfId="255" applyNumberFormat="1" applyFont="1" applyAlignment="1" applyProtection="1"/>
    <xf numFmtId="41" fontId="5" fillId="0" borderId="0" xfId="255" applyNumberFormat="1" applyFont="1" applyAlignment="1" applyProtection="1">
      <alignment horizontal="center" vertical="center"/>
    </xf>
    <xf numFmtId="41" fontId="5" fillId="0" borderId="6" xfId="255" applyNumberFormat="1" applyFont="1" applyBorder="1" applyAlignment="1" applyProtection="1"/>
    <xf numFmtId="41" fontId="5" fillId="0" borderId="16" xfId="255" applyNumberFormat="1" applyFont="1" applyBorder="1" applyAlignment="1" applyProtection="1"/>
    <xf numFmtId="164" fontId="5" fillId="0" borderId="0" xfId="255" applyNumberFormat="1" applyFont="1" applyAlignment="1" applyProtection="1">
      <alignment horizontal="center"/>
    </xf>
    <xf numFmtId="0" fontId="85" fillId="0" borderId="0" xfId="255" applyNumberFormat="1" applyFont="1" applyAlignment="1" applyProtection="1">
      <alignment horizontal="center"/>
    </xf>
    <xf numFmtId="3" fontId="5" fillId="0" borderId="0" xfId="255" applyNumberFormat="1" applyFont="1" applyAlignment="1" applyProtection="1">
      <alignment horizontal="right"/>
    </xf>
    <xf numFmtId="172" fontId="5" fillId="0" borderId="0" xfId="255" applyFont="1" applyAlignment="1" applyProtection="1">
      <alignment horizontal="center"/>
    </xf>
    <xf numFmtId="172" fontId="5" fillId="0" borderId="0" xfId="255" applyFont="1" applyFill="1" applyAlignment="1" applyProtection="1">
      <alignment horizontal="center"/>
    </xf>
    <xf numFmtId="0" fontId="0" fillId="0" borderId="0" xfId="0" applyAlignment="1" applyProtection="1">
      <alignment horizontal="center"/>
    </xf>
    <xf numFmtId="0" fontId="6" fillId="0" borderId="0" xfId="255" applyNumberFormat="1" applyFont="1" applyAlignment="1" applyProtection="1">
      <alignment horizontal="center"/>
    </xf>
    <xf numFmtId="172" fontId="6" fillId="0" borderId="0" xfId="255" applyFont="1" applyAlignment="1" applyProtection="1"/>
    <xf numFmtId="3" fontId="10" fillId="0" borderId="0" xfId="255" applyNumberFormat="1" applyFont="1" applyAlignment="1" applyProtection="1">
      <alignment horizontal="center"/>
    </xf>
    <xf numFmtId="3" fontId="6" fillId="0" borderId="0" xfId="255" applyNumberFormat="1" applyFont="1" applyFill="1" applyAlignment="1" applyProtection="1"/>
    <xf numFmtId="3" fontId="10" fillId="0" borderId="0" xfId="255" applyNumberFormat="1" applyFont="1" applyFill="1" applyAlignment="1" applyProtection="1"/>
    <xf numFmtId="3" fontId="10" fillId="0" borderId="0" xfId="255" applyNumberFormat="1" applyFont="1" applyAlignment="1" applyProtection="1"/>
    <xf numFmtId="41" fontId="151" fillId="32" borderId="0" xfId="255" applyNumberFormat="1" applyFont="1" applyFill="1" applyAlignment="1" applyProtection="1">
      <alignment wrapText="1"/>
    </xf>
    <xf numFmtId="0" fontId="32" fillId="0" borderId="0" xfId="0" applyFont="1" applyBorder="1" applyProtection="1"/>
    <xf numFmtId="43" fontId="12" fillId="0" borderId="0" xfId="86" applyNumberFormat="1" applyFont="1" applyAlignment="1" applyProtection="1"/>
    <xf numFmtId="41" fontId="5" fillId="0" borderId="0" xfId="255" applyNumberFormat="1" applyFont="1" applyFill="1" applyAlignment="1" applyProtection="1">
      <alignment horizontal="center"/>
    </xf>
    <xf numFmtId="3" fontId="93" fillId="0" borderId="0" xfId="255" applyNumberFormat="1" applyFont="1" applyFill="1" applyAlignment="1" applyProtection="1">
      <alignment horizontal="right"/>
    </xf>
    <xf numFmtId="41" fontId="5" fillId="0" borderId="0" xfId="255" applyNumberFormat="1" applyFont="1" applyBorder="1" applyAlignment="1" applyProtection="1"/>
    <xf numFmtId="3" fontId="5" fillId="0" borderId="0" xfId="255" applyNumberFormat="1" applyFont="1" applyAlignment="1" applyProtection="1">
      <alignment vertical="center" wrapText="1"/>
    </xf>
    <xf numFmtId="41" fontId="93" fillId="0" borderId="0" xfId="255" applyNumberFormat="1" applyFont="1" applyFill="1" applyAlignment="1" applyProtection="1">
      <alignment horizontal="right"/>
    </xf>
    <xf numFmtId="3" fontId="5" fillId="0" borderId="0" xfId="255" applyNumberFormat="1" applyFont="1" applyAlignment="1" applyProtection="1">
      <alignment horizontal="center" vertical="center"/>
    </xf>
    <xf numFmtId="41" fontId="5" fillId="0" borderId="0" xfId="255" applyNumberFormat="1" applyFont="1" applyAlignment="1" applyProtection="1">
      <alignment vertical="center"/>
    </xf>
    <xf numFmtId="3" fontId="5" fillId="0" borderId="0" xfId="255" applyNumberFormat="1" applyFont="1" applyAlignment="1" applyProtection="1">
      <alignment horizontal="left" wrapText="1"/>
    </xf>
    <xf numFmtId="0" fontId="12" fillId="0" borderId="0" xfId="0" applyFont="1" applyAlignment="1" applyProtection="1">
      <alignment horizontal="left" wrapText="1"/>
    </xf>
    <xf numFmtId="3" fontId="5" fillId="0" borderId="0" xfId="255" applyNumberFormat="1" applyFont="1" applyFill="1" applyAlignment="1" applyProtection="1">
      <alignment horizontal="right"/>
    </xf>
    <xf numFmtId="43" fontId="5" fillId="0" borderId="0" xfId="267" applyNumberFormat="1" applyFont="1" applyFill="1" applyAlignment="1" applyProtection="1"/>
    <xf numFmtId="166" fontId="5" fillId="0" borderId="0" xfId="255" applyNumberFormat="1" applyFont="1" applyAlignment="1" applyProtection="1"/>
    <xf numFmtId="182" fontId="5" fillId="0" borderId="0" xfId="86" applyNumberFormat="1" applyFont="1" applyAlignment="1" applyProtection="1"/>
    <xf numFmtId="167" fontId="5" fillId="0" borderId="0" xfId="255" applyNumberFormat="1" applyFont="1" applyAlignment="1" applyProtection="1"/>
    <xf numFmtId="172" fontId="23" fillId="0" borderId="0" xfId="255" applyFont="1" applyAlignment="1" applyProtection="1"/>
    <xf numFmtId="164" fontId="5" fillId="0" borderId="0" xfId="255" applyNumberFormat="1" applyFont="1" applyBorder="1" applyAlignment="1" applyProtection="1">
      <alignment horizontal="left"/>
    </xf>
    <xf numFmtId="168" fontId="5" fillId="0" borderId="0" xfId="255" applyNumberFormat="1" applyFont="1" applyAlignment="1" applyProtection="1"/>
    <xf numFmtId="10" fontId="5" fillId="0" borderId="0" xfId="255" applyNumberFormat="1" applyFont="1" applyFill="1" applyAlignment="1" applyProtection="1">
      <alignment horizontal="right"/>
    </xf>
    <xf numFmtId="10" fontId="32" fillId="0" borderId="0" xfId="267" applyNumberFormat="1" applyFont="1" applyProtection="1"/>
    <xf numFmtId="3" fontId="23" fillId="0" borderId="0" xfId="255" applyNumberFormat="1" applyFont="1" applyAlignment="1" applyProtection="1"/>
    <xf numFmtId="167" fontId="5" fillId="0" borderId="0" xfId="255" applyNumberFormat="1" applyFont="1" applyFill="1" applyAlignment="1" applyProtection="1"/>
    <xf numFmtId="166" fontId="5" fillId="0" borderId="0" xfId="255" applyNumberFormat="1" applyFont="1" applyAlignment="1" applyProtection="1">
      <alignment horizontal="center"/>
    </xf>
    <xf numFmtId="188" fontId="23" fillId="0" borderId="0" xfId="255" applyNumberFormat="1" applyFont="1" applyAlignment="1" applyProtection="1">
      <alignment horizontal="center"/>
    </xf>
    <xf numFmtId="189" fontId="5" fillId="0" borderId="0" xfId="255" applyNumberFormat="1" applyFont="1" applyAlignment="1" applyProtection="1"/>
    <xf numFmtId="164" fontId="5" fillId="0" borderId="0" xfId="255" applyNumberFormat="1" applyFont="1" applyFill="1" applyBorder="1" applyAlignment="1" applyProtection="1">
      <alignment horizontal="left"/>
    </xf>
    <xf numFmtId="179" fontId="5" fillId="0" borderId="0" xfId="255"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55" applyNumberFormat="1" applyFont="1" applyAlignment="1" applyProtection="1"/>
    <xf numFmtId="43" fontId="23" fillId="0" borderId="0" xfId="86" applyFont="1" applyAlignment="1" applyProtection="1"/>
    <xf numFmtId="10" fontId="5" fillId="0" borderId="0" xfId="255" applyNumberFormat="1" applyFont="1" applyFill="1" applyAlignment="1" applyProtection="1">
      <alignment horizontal="left"/>
    </xf>
    <xf numFmtId="168" fontId="5" fillId="0" borderId="0" xfId="255" applyNumberFormat="1" applyFont="1" applyFill="1" applyAlignment="1" applyProtection="1">
      <alignment horizontal="left"/>
    </xf>
    <xf numFmtId="0" fontId="12" fillId="0" borderId="0" xfId="0" applyFont="1" applyProtection="1"/>
    <xf numFmtId="41" fontId="5" fillId="0" borderId="0" xfId="255" applyNumberFormat="1" applyFont="1" applyFill="1" applyAlignment="1" applyProtection="1">
      <alignment horizontal="right"/>
    </xf>
    <xf numFmtId="179" fontId="5" fillId="0" borderId="0" xfId="255" applyNumberFormat="1" applyFont="1" applyAlignment="1" applyProtection="1"/>
    <xf numFmtId="173" fontId="5" fillId="0" borderId="0" xfId="255" applyNumberFormat="1" applyFont="1" applyAlignment="1" applyProtection="1"/>
    <xf numFmtId="164" fontId="5" fillId="0" borderId="0" xfId="255" applyNumberFormat="1" applyFont="1" applyFill="1" applyBorder="1" applyAlignment="1" applyProtection="1">
      <alignment horizontal="left" vertical="center"/>
    </xf>
    <xf numFmtId="41" fontId="5" fillId="0" borderId="0" xfId="255" applyNumberFormat="1" applyFont="1" applyFill="1" applyAlignment="1" applyProtection="1">
      <alignment horizontal="center" vertical="center"/>
    </xf>
    <xf numFmtId="180" fontId="5" fillId="0" borderId="0" xfId="255" applyNumberFormat="1" applyFont="1" applyAlignment="1" applyProtection="1"/>
    <xf numFmtId="173" fontId="5" fillId="0" borderId="14" xfId="86" applyNumberFormat="1" applyFont="1" applyBorder="1" applyAlignment="1" applyProtection="1"/>
    <xf numFmtId="0" fontId="5" fillId="0" borderId="0" xfId="255" applyNumberFormat="1" applyFont="1" applyFill="1" applyBorder="1" applyAlignment="1" applyProtection="1">
      <alignment horizontal="left"/>
    </xf>
    <xf numFmtId="0" fontId="6" fillId="0" borderId="0" xfId="255" applyNumberFormat="1" applyFont="1" applyAlignment="1" applyProtection="1"/>
    <xf numFmtId="0" fontId="5" fillId="0" borderId="0" xfId="0" applyFont="1" applyFill="1" applyAlignment="1" applyProtection="1">
      <alignment horizontal="left"/>
    </xf>
    <xf numFmtId="0" fontId="5" fillId="0" borderId="0" xfId="255" applyNumberFormat="1" applyFont="1" applyFill="1" applyBorder="1" applyProtection="1"/>
    <xf numFmtId="3" fontId="5" fillId="0" borderId="0" xfId="255" applyNumberFormat="1" applyFont="1" applyFill="1" applyBorder="1" applyAlignment="1" applyProtection="1"/>
    <xf numFmtId="172" fontId="5" fillId="0" borderId="0" xfId="255" applyFont="1" applyFill="1" applyBorder="1" applyAlignment="1" applyProtection="1"/>
    <xf numFmtId="172" fontId="5" fillId="0" borderId="0" xfId="255" applyFont="1" applyFill="1" applyBorder="1" applyAlignment="1" applyProtection="1">
      <alignment horizontal="center"/>
    </xf>
    <xf numFmtId="3" fontId="5" fillId="0" borderId="0" xfId="255" applyNumberFormat="1" applyFont="1" applyFill="1" applyBorder="1" applyAlignment="1" applyProtection="1">
      <alignment horizontal="left"/>
    </xf>
    <xf numFmtId="0" fontId="5" fillId="0" borderId="0" xfId="255" applyNumberFormat="1" applyFont="1" applyFill="1" applyBorder="1" applyAlignment="1" applyProtection="1">
      <alignment horizontal="center"/>
    </xf>
    <xf numFmtId="49" fontId="5" fillId="0" borderId="0" xfId="255" applyNumberFormat="1" applyFont="1" applyFill="1" applyBorder="1" applyProtection="1"/>
    <xf numFmtId="49" fontId="5" fillId="0" borderId="0" xfId="255" applyNumberFormat="1" applyFont="1" applyFill="1" applyBorder="1" applyAlignment="1" applyProtection="1"/>
    <xf numFmtId="49" fontId="5" fillId="0" borderId="0" xfId="255" applyNumberFormat="1" applyFont="1" applyFill="1" applyBorder="1" applyAlignment="1" applyProtection="1">
      <alignment horizontal="center"/>
    </xf>
    <xf numFmtId="3" fontId="6" fillId="0" borderId="0" xfId="255" applyNumberFormat="1" applyFont="1" applyFill="1" applyBorder="1" applyAlignment="1" applyProtection="1">
      <alignment horizontal="right"/>
    </xf>
    <xf numFmtId="165" fontId="6" fillId="0" borderId="0" xfId="255" applyNumberFormat="1" applyFont="1" applyFill="1" applyBorder="1" applyAlignment="1" applyProtection="1">
      <alignment horizontal="right"/>
    </xf>
    <xf numFmtId="0" fontId="6" fillId="0" borderId="0" xfId="255" applyNumberFormat="1" applyFont="1" applyFill="1" applyAlignment="1" applyProtection="1"/>
    <xf numFmtId="3" fontId="5" fillId="0" borderId="0" xfId="255" applyNumberFormat="1" applyFont="1" applyFill="1" applyProtection="1"/>
    <xf numFmtId="3" fontId="5" fillId="0" borderId="0" xfId="255" applyNumberFormat="1" applyFont="1" applyFill="1" applyAlignment="1" applyProtection="1">
      <alignment horizontal="center" wrapText="1"/>
    </xf>
    <xf numFmtId="173" fontId="5" fillId="0" borderId="0" xfId="86" applyNumberFormat="1" applyFont="1" applyFill="1" applyAlignment="1" applyProtection="1"/>
    <xf numFmtId="4" fontId="5" fillId="0" borderId="0" xfId="255" applyNumberFormat="1" applyFont="1" applyAlignment="1" applyProtection="1"/>
    <xf numFmtId="172" fontId="6" fillId="0" borderId="0" xfId="255" applyFont="1" applyAlignment="1" applyProtection="1">
      <alignment horizontal="right"/>
    </xf>
    <xf numFmtId="165" fontId="6" fillId="0" borderId="0" xfId="255" applyNumberFormat="1" applyFont="1" applyAlignment="1" applyProtection="1"/>
    <xf numFmtId="0" fontId="10" fillId="0" borderId="0" xfId="255" applyNumberFormat="1" applyFont="1" applyFill="1" applyBorder="1" applyAlignment="1" applyProtection="1"/>
    <xf numFmtId="3" fontId="5" fillId="0" borderId="6" xfId="255" applyNumberFormat="1" applyFont="1" applyFill="1" applyBorder="1" applyAlignment="1" applyProtection="1">
      <alignment horizontal="center"/>
    </xf>
    <xf numFmtId="41" fontId="6" fillId="0" borderId="0" xfId="255" applyNumberFormat="1" applyFont="1" applyFill="1" applyAlignment="1" applyProtection="1"/>
    <xf numFmtId="0" fontId="14" fillId="0" borderId="0" xfId="255" applyNumberFormat="1" applyFont="1" applyFill="1" applyBorder="1" applyAlignment="1" applyProtection="1">
      <alignment horizontal="left"/>
    </xf>
    <xf numFmtId="3" fontId="5" fillId="32" borderId="0" xfId="255" applyNumberFormat="1" applyFont="1" applyFill="1" applyAlignment="1" applyProtection="1"/>
    <xf numFmtId="0" fontId="12" fillId="0" borderId="0" xfId="0" applyFont="1" applyFill="1" applyProtection="1"/>
    <xf numFmtId="0" fontId="5" fillId="0" borderId="0" xfId="255" applyNumberFormat="1" applyFont="1" applyFill="1" applyAlignment="1" applyProtection="1">
      <alignment horizontal="left"/>
    </xf>
    <xf numFmtId="0" fontId="5" fillId="0" borderId="6" xfId="255"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55" applyNumberFormat="1" applyFont="1" applyFill="1" applyAlignment="1" applyProtection="1"/>
    <xf numFmtId="169" fontId="5" fillId="0" borderId="17" xfId="255" applyNumberFormat="1" applyFont="1" applyFill="1" applyBorder="1" applyAlignment="1" applyProtection="1"/>
    <xf numFmtId="169" fontId="5" fillId="0" borderId="0" xfId="255" applyNumberFormat="1" applyFont="1" applyFill="1" applyBorder="1" applyAlignment="1" applyProtection="1"/>
    <xf numFmtId="169" fontId="5" fillId="0" borderId="6" xfId="255" applyNumberFormat="1" applyFont="1" applyFill="1" applyBorder="1" applyAlignment="1" applyProtection="1"/>
    <xf numFmtId="182" fontId="12" fillId="0" borderId="0" xfId="86" applyNumberFormat="1" applyFont="1" applyFill="1" applyProtection="1"/>
    <xf numFmtId="169" fontId="6" fillId="0" borderId="0" xfId="255" applyNumberFormat="1" applyFont="1" applyFill="1" applyAlignment="1" applyProtection="1"/>
    <xf numFmtId="0" fontId="3" fillId="31" borderId="0" xfId="255" applyNumberFormat="1" applyFont="1" applyFill="1" applyAlignment="1" applyProtection="1">
      <alignment horizontal="center"/>
    </xf>
    <xf numFmtId="0" fontId="5" fillId="31" borderId="0" xfId="255" applyNumberFormat="1" applyFont="1" applyFill="1" applyAlignment="1" applyProtection="1">
      <alignment horizontal="center"/>
    </xf>
    <xf numFmtId="0" fontId="10" fillId="31" borderId="0" xfId="255" applyNumberFormat="1" applyFont="1" applyFill="1" applyBorder="1" applyAlignment="1" applyProtection="1"/>
    <xf numFmtId="0" fontId="5" fillId="31" borderId="0" xfId="255" applyNumberFormat="1" applyFont="1" applyFill="1" applyBorder="1" applyAlignment="1" applyProtection="1">
      <alignment horizontal="left"/>
    </xf>
    <xf numFmtId="3" fontId="5" fillId="31" borderId="0" xfId="255" applyNumberFormat="1" applyFont="1" applyFill="1" applyAlignment="1" applyProtection="1"/>
    <xf numFmtId="172" fontId="5" fillId="31" borderId="0" xfId="255" applyFont="1" applyFill="1" applyAlignment="1" applyProtection="1"/>
    <xf numFmtId="3" fontId="6" fillId="31" borderId="0" xfId="255" applyNumberFormat="1" applyFont="1" applyFill="1" applyAlignment="1" applyProtection="1"/>
    <xf numFmtId="166" fontId="6" fillId="31" borderId="0" xfId="255" applyNumberFormat="1" applyFont="1" applyFill="1" applyProtection="1"/>
    <xf numFmtId="0" fontId="5" fillId="31" borderId="0" xfId="255" applyNumberFormat="1" applyFont="1" applyFill="1" applyBorder="1" applyAlignment="1" applyProtection="1"/>
    <xf numFmtId="3" fontId="5" fillId="31" borderId="6" xfId="255" applyNumberFormat="1" applyFont="1" applyFill="1" applyBorder="1" applyAlignment="1" applyProtection="1">
      <alignment horizontal="center"/>
    </xf>
    <xf numFmtId="41" fontId="5" fillId="31" borderId="0" xfId="255" applyNumberFormat="1" applyFont="1" applyFill="1" applyAlignment="1" applyProtection="1"/>
    <xf numFmtId="0" fontId="14" fillId="31" borderId="0" xfId="255" applyNumberFormat="1" applyFont="1" applyFill="1" applyBorder="1" applyAlignment="1" applyProtection="1">
      <alignment horizontal="left"/>
    </xf>
    <xf numFmtId="0" fontId="0" fillId="31" borderId="0" xfId="0" applyFill="1" applyProtection="1"/>
    <xf numFmtId="0" fontId="5" fillId="31" borderId="0" xfId="255" applyNumberFormat="1" applyFont="1" applyFill="1" applyProtection="1"/>
    <xf numFmtId="0" fontId="32" fillId="31" borderId="0" xfId="0" applyFont="1" applyFill="1" applyProtection="1"/>
    <xf numFmtId="41" fontId="19" fillId="31" borderId="0" xfId="255" applyNumberFormat="1" applyFont="1" applyFill="1" applyAlignment="1" applyProtection="1"/>
    <xf numFmtId="10" fontId="5" fillId="31" borderId="0" xfId="267" applyNumberFormat="1" applyFont="1" applyFill="1" applyAlignment="1" applyProtection="1"/>
    <xf numFmtId="41" fontId="19" fillId="31" borderId="6" xfId="255" applyNumberFormat="1" applyFont="1" applyFill="1" applyBorder="1" applyAlignment="1" applyProtection="1"/>
    <xf numFmtId="0" fontId="5" fillId="31" borderId="0" xfId="255" applyNumberFormat="1" applyFont="1" applyFill="1" applyAlignment="1" applyProtection="1">
      <alignment horizontal="left"/>
    </xf>
    <xf numFmtId="3" fontId="23" fillId="31" borderId="0" xfId="255" applyNumberFormat="1" applyFont="1" applyFill="1" applyAlignment="1" applyProtection="1"/>
    <xf numFmtId="0" fontId="5" fillId="31" borderId="6" xfId="255" applyNumberFormat="1" applyFont="1" applyFill="1" applyBorder="1" applyAlignment="1" applyProtection="1">
      <alignment horizontal="center"/>
    </xf>
    <xf numFmtId="182" fontId="5" fillId="31" borderId="6" xfId="86" applyNumberFormat="1" applyFont="1" applyFill="1" applyBorder="1" applyAlignment="1" applyProtection="1">
      <alignment horizontal="center"/>
    </xf>
    <xf numFmtId="10" fontId="5" fillId="31" borderId="0" xfId="255" applyNumberFormat="1" applyFont="1" applyFill="1" applyAlignment="1" applyProtection="1"/>
    <xf numFmtId="169" fontId="23" fillId="31" borderId="0" xfId="255" applyNumberFormat="1" applyFont="1" applyFill="1" applyAlignment="1" applyProtection="1"/>
    <xf numFmtId="169" fontId="5" fillId="31" borderId="17" xfId="255" applyNumberFormat="1" applyFont="1" applyFill="1" applyBorder="1" applyAlignment="1" applyProtection="1"/>
    <xf numFmtId="3" fontId="5" fillId="0" borderId="0" xfId="255" quotePrefix="1" applyNumberFormat="1" applyFont="1" applyAlignment="1" applyProtection="1"/>
    <xf numFmtId="169" fontId="5" fillId="31" borderId="0" xfId="255" applyNumberFormat="1" applyFont="1" applyFill="1" applyBorder="1" applyAlignment="1" applyProtection="1"/>
    <xf numFmtId="10" fontId="5" fillId="31" borderId="0" xfId="255" applyNumberFormat="1" applyFont="1" applyFill="1" applyBorder="1" applyAlignment="1" applyProtection="1"/>
    <xf numFmtId="41" fontId="5" fillId="31" borderId="6" xfId="255" applyNumberFormat="1" applyFont="1" applyFill="1" applyBorder="1" applyAlignment="1" applyProtection="1"/>
    <xf numFmtId="169" fontId="5" fillId="31" borderId="6" xfId="255" applyNumberFormat="1" applyFont="1" applyFill="1" applyBorder="1" applyAlignment="1" applyProtection="1"/>
    <xf numFmtId="182" fontId="22" fillId="31" borderId="0" xfId="86" applyNumberFormat="1" applyFont="1" applyFill="1" applyProtection="1"/>
    <xf numFmtId="3" fontId="6" fillId="31" borderId="0" xfId="255" applyNumberFormat="1" applyFont="1" applyFill="1" applyAlignment="1" applyProtection="1">
      <alignment horizontal="right"/>
    </xf>
    <xf numFmtId="169" fontId="6" fillId="31" borderId="0" xfId="255" applyNumberFormat="1" applyFont="1" applyFill="1" applyAlignment="1" applyProtection="1"/>
    <xf numFmtId="3" fontId="6" fillId="0" borderId="0" xfId="255" quotePrefix="1" applyNumberFormat="1" applyFont="1" applyAlignment="1" applyProtection="1"/>
    <xf numFmtId="0" fontId="0" fillId="0" borderId="0" xfId="0" applyFill="1" applyProtection="1"/>
    <xf numFmtId="0" fontId="5" fillId="0" borderId="0" xfId="0" applyFont="1" applyFill="1" applyProtection="1"/>
    <xf numFmtId="0" fontId="5" fillId="0" borderId="0" xfId="0" applyFont="1" applyProtection="1"/>
    <xf numFmtId="172" fontId="5" fillId="0" borderId="0" xfId="255" applyNumberFormat="1" applyFont="1" applyAlignment="1" applyProtection="1"/>
    <xf numFmtId="172" fontId="5" fillId="0" borderId="0" xfId="255" applyFont="1" applyFill="1" applyAlignment="1" applyProtection="1">
      <alignment horizontal="right"/>
    </xf>
    <xf numFmtId="172" fontId="10" fillId="0" borderId="0" xfId="255" applyFont="1" applyAlignment="1" applyProtection="1">
      <alignment horizontal="center"/>
    </xf>
    <xf numFmtId="172" fontId="3" fillId="0" borderId="0" xfId="255" applyFont="1" applyFill="1" applyAlignment="1" applyProtection="1">
      <alignment horizontal="center"/>
    </xf>
    <xf numFmtId="172" fontId="3" fillId="0" borderId="0" xfId="255" applyFont="1" applyFill="1" applyAlignment="1" applyProtection="1"/>
    <xf numFmtId="10" fontId="5" fillId="0" borderId="0" xfId="255" applyNumberFormat="1" applyFont="1" applyFill="1" applyProtection="1"/>
    <xf numFmtId="0" fontId="12" fillId="0" borderId="0" xfId="0" applyFont="1" applyAlignment="1" applyProtection="1"/>
    <xf numFmtId="0" fontId="22" fillId="0" borderId="0" xfId="0" applyFont="1" applyAlignment="1" applyProtection="1"/>
    <xf numFmtId="0" fontId="26" fillId="0" borderId="0" xfId="255" applyNumberFormat="1" applyFont="1" applyFill="1" applyAlignment="1" applyProtection="1"/>
    <xf numFmtId="0" fontId="107" fillId="0" borderId="0" xfId="255" applyNumberFormat="1" applyFont="1" applyFill="1" applyAlignment="1" applyProtection="1"/>
    <xf numFmtId="0" fontId="26" fillId="0" borderId="0" xfId="255" applyNumberFormat="1" applyFont="1" applyFill="1" applyProtection="1"/>
    <xf numFmtId="172" fontId="26" fillId="0" borderId="0" xfId="255" applyFont="1" applyFill="1" applyAlignment="1" applyProtection="1"/>
    <xf numFmtId="0" fontId="26" fillId="0" borderId="0" xfId="0" applyFont="1" applyAlignment="1" applyProtection="1">
      <alignment vertical="top" wrapText="1"/>
    </xf>
    <xf numFmtId="172" fontId="26" fillId="0" borderId="0" xfId="255" applyFont="1" applyFill="1" applyAlignment="1" applyProtection="1">
      <alignment wrapText="1"/>
    </xf>
    <xf numFmtId="172" fontId="107" fillId="0" borderId="0" xfId="255" applyFont="1" applyFill="1" applyAlignment="1" applyProtection="1"/>
    <xf numFmtId="172" fontId="23" fillId="0" borderId="0" xfId="255" applyFont="1" applyFill="1" applyAlignment="1" applyProtection="1"/>
    <xf numFmtId="0" fontId="3" fillId="0" borderId="0" xfId="255" applyNumberFormat="1" applyFont="1" applyFill="1" applyProtection="1"/>
    <xf numFmtId="172" fontId="3" fillId="0" borderId="0" xfId="255" applyFont="1" applyFill="1" applyAlignment="1" applyProtection="1">
      <alignment horizontal="center" wrapText="1"/>
    </xf>
    <xf numFmtId="172" fontId="77" fillId="0" borderId="0" xfId="255" applyFont="1" applyFill="1" applyAlignment="1" applyProtection="1">
      <alignment horizontal="center" wrapText="1"/>
    </xf>
    <xf numFmtId="0" fontId="5" fillId="32" borderId="0" xfId="255" applyNumberFormat="1" applyFont="1" applyFill="1" applyAlignment="1" applyProtection="1">
      <alignment vertical="top" wrapText="1"/>
    </xf>
    <xf numFmtId="0" fontId="12" fillId="32" borderId="0" xfId="0" applyFont="1" applyFill="1" applyProtection="1"/>
    <xf numFmtId="0" fontId="93" fillId="0" borderId="0" xfId="255" applyNumberFormat="1" applyFont="1" applyFill="1" applyAlignment="1" applyProtection="1">
      <alignment horizontal="center"/>
    </xf>
    <xf numFmtId="172" fontId="23" fillId="0" borderId="0" xfId="255" applyFont="1" applyAlignment="1" applyProtection="1">
      <alignment wrapText="1"/>
    </xf>
    <xf numFmtId="173" fontId="19" fillId="0" borderId="0" xfId="86" applyNumberFormat="1" applyFont="1" applyFill="1" applyAlignment="1" applyProtection="1">
      <alignment horizontal="right"/>
    </xf>
    <xf numFmtId="10" fontId="19" fillId="30" borderId="0" xfId="267" applyNumberFormat="1" applyFont="1" applyFill="1" applyAlignment="1" applyProtection="1">
      <protection locked="0"/>
    </xf>
    <xf numFmtId="0" fontId="19" fillId="30" borderId="0" xfId="86" applyNumberFormat="1" applyFont="1" applyFill="1" applyAlignment="1" applyProtection="1">
      <protection locked="0"/>
    </xf>
    <xf numFmtId="0" fontId="5" fillId="0" borderId="0" xfId="0" applyFont="1" applyAlignment="1" applyProtection="1">
      <alignment horizontal="center"/>
    </xf>
    <xf numFmtId="0" fontId="12" fillId="0" borderId="0" xfId="207" applyFont="1" applyBorder="1" applyProtection="1"/>
    <xf numFmtId="0" fontId="5" fillId="0" borderId="0" xfId="207" applyFont="1" applyBorder="1" applyAlignment="1" applyProtection="1">
      <alignment horizontal="center"/>
    </xf>
    <xf numFmtId="0" fontId="12" fillId="0" borderId="0" xfId="207" applyFont="1" applyBorder="1" applyAlignment="1" applyProtection="1">
      <alignment horizontal="center"/>
    </xf>
    <xf numFmtId="0" fontId="17" fillId="0" borderId="0" xfId="248" applyFont="1" applyAlignment="1" applyProtection="1">
      <alignment horizontal="center"/>
    </xf>
    <xf numFmtId="0" fontId="12" fillId="0" borderId="0" xfId="0" applyFont="1" applyBorder="1" applyProtection="1"/>
    <xf numFmtId="0" fontId="12" fillId="0" borderId="0" xfId="207" applyFont="1" applyFill="1" applyBorder="1" applyProtection="1"/>
    <xf numFmtId="0" fontId="12" fillId="0" borderId="0" xfId="207" applyFont="1" applyFill="1" applyBorder="1" applyAlignment="1" applyProtection="1">
      <alignment horizontal="center" wrapText="1"/>
    </xf>
    <xf numFmtId="0" fontId="9" fillId="0" borderId="0" xfId="207" applyFont="1" applyFill="1" applyBorder="1" applyAlignment="1" applyProtection="1">
      <alignment horizontal="left"/>
    </xf>
    <xf numFmtId="0" fontId="12" fillId="0" borderId="0" xfId="207" applyFont="1" applyFill="1" applyBorder="1" applyAlignment="1" applyProtection="1"/>
    <xf numFmtId="0" fontId="12" fillId="0" borderId="0" xfId="207" applyNumberFormat="1" applyFont="1" applyFill="1" applyBorder="1" applyAlignment="1" applyProtection="1">
      <alignment horizontal="center"/>
    </xf>
    <xf numFmtId="3" fontId="12" fillId="0" borderId="0" xfId="207" applyNumberFormat="1" applyFont="1" applyFill="1" applyBorder="1" applyAlignment="1" applyProtection="1"/>
    <xf numFmtId="0" fontId="9" fillId="0" borderId="0" xfId="207" applyNumberFormat="1" applyFont="1" applyFill="1" applyBorder="1" applyAlignment="1" applyProtection="1">
      <alignment horizontal="left"/>
    </xf>
    <xf numFmtId="173" fontId="0" fillId="0" borderId="0" xfId="86" applyNumberFormat="1" applyFont="1" applyFill="1" applyProtection="1"/>
    <xf numFmtId="173" fontId="12" fillId="0" borderId="0" xfId="89" applyNumberFormat="1" applyFont="1" applyFill="1" applyBorder="1" applyAlignment="1" applyProtection="1">
      <alignment horizontal="right"/>
    </xf>
    <xf numFmtId="0" fontId="12" fillId="0" borderId="0" xfId="207" applyNumberFormat="1" applyFont="1" applyFill="1" applyBorder="1" applyAlignment="1" applyProtection="1">
      <alignment horizontal="left"/>
    </xf>
    <xf numFmtId="0" fontId="12" fillId="0" borderId="0" xfId="207" applyFont="1" applyBorder="1" applyAlignment="1" applyProtection="1"/>
    <xf numFmtId="0" fontId="7" fillId="0" borderId="0" xfId="207" applyFont="1" applyFill="1" applyBorder="1" applyAlignment="1" applyProtection="1">
      <alignment horizontal="left"/>
    </xf>
    <xf numFmtId="0" fontId="2" fillId="0" borderId="0" xfId="0" applyFont="1" applyProtection="1"/>
    <xf numFmtId="173" fontId="8" fillId="30" borderId="0" xfId="89" applyNumberFormat="1" applyFont="1" applyFill="1" applyBorder="1" applyAlignment="1" applyProtection="1">
      <alignment horizontal="right"/>
      <protection locked="0"/>
    </xf>
    <xf numFmtId="49" fontId="5" fillId="0" borderId="0" xfId="248" applyNumberFormat="1" applyFont="1" applyAlignment="1" applyProtection="1">
      <alignment horizontal="center"/>
    </xf>
    <xf numFmtId="0" fontId="0" fillId="0" borderId="0" xfId="0" applyAlignment="1" applyProtection="1"/>
    <xf numFmtId="0" fontId="9" fillId="0" borderId="0" xfId="207" applyFont="1" applyBorder="1" applyAlignment="1" applyProtection="1">
      <alignment horizontal="center"/>
    </xf>
    <xf numFmtId="0" fontId="9" fillId="0" borderId="0" xfId="207" applyFont="1" applyFill="1" applyBorder="1" applyAlignment="1" applyProtection="1">
      <alignment horizontal="center"/>
    </xf>
    <xf numFmtId="0" fontId="9" fillId="0" borderId="0" xfId="207" applyFont="1" applyBorder="1" applyAlignment="1" applyProtection="1"/>
    <xf numFmtId="0" fontId="13" fillId="0" borderId="0" xfId="0" applyFont="1" applyBorder="1" applyProtection="1"/>
    <xf numFmtId="3" fontId="13" fillId="0" borderId="0" xfId="207" applyNumberFormat="1" applyFont="1" applyBorder="1" applyAlignment="1" applyProtection="1">
      <alignment horizontal="center"/>
    </xf>
    <xf numFmtId="0" fontId="9" fillId="0" borderId="0" xfId="207" applyNumberFormat="1" applyFont="1" applyFill="1" applyBorder="1" applyAlignment="1" applyProtection="1">
      <alignment horizontal="center"/>
    </xf>
    <xf numFmtId="0" fontId="17" fillId="0" borderId="0" xfId="207" applyFont="1" applyFill="1" applyBorder="1" applyAlignment="1" applyProtection="1">
      <alignment horizontal="center"/>
    </xf>
    <xf numFmtId="0" fontId="13" fillId="0" borderId="0" xfId="207" applyNumberFormat="1" applyFont="1" applyFill="1" applyBorder="1" applyAlignment="1" applyProtection="1">
      <alignment horizontal="left"/>
    </xf>
    <xf numFmtId="173" fontId="13" fillId="0" borderId="0" xfId="89" applyNumberFormat="1" applyFont="1" applyFill="1" applyBorder="1" applyAlignment="1" applyProtection="1">
      <alignment horizontal="right"/>
    </xf>
    <xf numFmtId="164" fontId="12" fillId="0" borderId="0" xfId="269" applyNumberFormat="1" applyFont="1" applyFill="1" applyBorder="1" applyAlignment="1" applyProtection="1"/>
    <xf numFmtId="173" fontId="12" fillId="0" borderId="0" xfId="89" applyNumberFormat="1" applyFont="1" applyFill="1" applyBorder="1" applyAlignment="1" applyProtection="1">
      <alignment horizontal="left"/>
    </xf>
    <xf numFmtId="0" fontId="8" fillId="0" borderId="0" xfId="207" applyFont="1" applyFill="1" applyBorder="1" applyAlignment="1" applyProtection="1"/>
    <xf numFmtId="0" fontId="87" fillId="0" borderId="0" xfId="0" applyFont="1" applyBorder="1" applyAlignment="1" applyProtection="1">
      <alignment horizontal="center"/>
    </xf>
    <xf numFmtId="38" fontId="12" fillId="0" borderId="0" xfId="0" applyNumberFormat="1" applyFont="1" applyFill="1" applyBorder="1" applyAlignment="1" applyProtection="1"/>
    <xf numFmtId="0" fontId="12" fillId="0" borderId="0" xfId="248" applyFont="1" applyProtection="1"/>
    <xf numFmtId="0" fontId="12" fillId="25" borderId="0" xfId="207" applyNumberFormat="1" applyFont="1" applyFill="1" applyBorder="1" applyAlignment="1" applyProtection="1">
      <alignment horizontal="center"/>
    </xf>
    <xf numFmtId="0" fontId="9" fillId="25" borderId="0" xfId="207" applyNumberFormat="1" applyFont="1" applyFill="1" applyBorder="1" applyAlignment="1" applyProtection="1">
      <alignment horizontal="left"/>
    </xf>
    <xf numFmtId="0" fontId="8" fillId="25" borderId="0" xfId="207" applyFont="1" applyFill="1" applyBorder="1" applyAlignment="1" applyProtection="1"/>
    <xf numFmtId="0" fontId="12" fillId="25" borderId="0" xfId="207" applyNumberFormat="1" applyFont="1" applyFill="1" applyBorder="1" applyAlignment="1" applyProtection="1">
      <alignment horizontal="left"/>
    </xf>
    <xf numFmtId="0" fontId="12" fillId="25" borderId="0" xfId="207" applyFont="1" applyFill="1" applyBorder="1" applyProtection="1"/>
    <xf numFmtId="173" fontId="12" fillId="25" borderId="0" xfId="89" applyNumberFormat="1" applyFont="1" applyFill="1" applyBorder="1" applyAlignment="1" applyProtection="1">
      <alignment horizontal="right"/>
    </xf>
    <xf numFmtId="0" fontId="0" fillId="25" borderId="0" xfId="0" applyFill="1" applyBorder="1" applyProtection="1"/>
    <xf numFmtId="164" fontId="12" fillId="25" borderId="0" xfId="269" applyNumberFormat="1" applyFont="1" applyFill="1" applyBorder="1" applyAlignment="1" applyProtection="1"/>
    <xf numFmtId="173" fontId="12" fillId="25" borderId="0" xfId="89" applyNumberFormat="1" applyFont="1" applyFill="1" applyBorder="1" applyAlignment="1" applyProtection="1">
      <alignment horizontal="left"/>
    </xf>
    <xf numFmtId="0" fontId="81" fillId="0" borderId="0" xfId="207" applyNumberFormat="1" applyFont="1" applyFill="1" applyBorder="1" applyAlignment="1" applyProtection="1">
      <alignment horizontal="left"/>
    </xf>
    <xf numFmtId="0" fontId="12" fillId="0" borderId="0" xfId="248" applyFont="1" applyFill="1" applyProtection="1"/>
    <xf numFmtId="9" fontId="9" fillId="0" borderId="0" xfId="248" quotePrefix="1" applyNumberFormat="1" applyFont="1" applyFill="1" applyAlignment="1" applyProtection="1">
      <alignment horizontal="center"/>
    </xf>
    <xf numFmtId="0" fontId="9" fillId="0" borderId="0" xfId="248" applyFont="1" applyFill="1" applyAlignment="1" applyProtection="1">
      <alignment horizontal="center"/>
    </xf>
    <xf numFmtId="0" fontId="69" fillId="0" borderId="0" xfId="248" applyFont="1" applyFill="1" applyAlignment="1" applyProtection="1">
      <alignment horizontal="center"/>
    </xf>
    <xf numFmtId="0" fontId="17" fillId="0" borderId="0" xfId="248" applyFont="1" applyFill="1" applyAlignment="1" applyProtection="1">
      <alignment horizontal="center"/>
    </xf>
    <xf numFmtId="0" fontId="86" fillId="0" borderId="0" xfId="248" applyFont="1" applyFill="1" applyAlignment="1" applyProtection="1">
      <alignment horizontal="center"/>
    </xf>
    <xf numFmtId="38" fontId="12" fillId="0" borderId="0" xfId="207" applyNumberFormat="1" applyFont="1" applyFill="1" applyBorder="1" applyAlignment="1" applyProtection="1">
      <alignment horizontal="right"/>
    </xf>
    <xf numFmtId="37" fontId="12" fillId="0" borderId="0" xfId="207" applyNumberFormat="1" applyFont="1" applyFill="1" applyBorder="1" applyAlignment="1" applyProtection="1">
      <alignment horizontal="right"/>
    </xf>
    <xf numFmtId="0" fontId="12" fillId="0" borderId="0" xfId="207" applyNumberFormat="1" applyFont="1" applyFill="1" applyBorder="1" applyAlignment="1" applyProtection="1">
      <alignment horizontal="right"/>
    </xf>
    <xf numFmtId="38" fontId="12" fillId="0" borderId="0" xfId="0" applyNumberFormat="1" applyFont="1" applyBorder="1" applyAlignment="1" applyProtection="1">
      <alignment horizontal="right"/>
    </xf>
    <xf numFmtId="38" fontId="8" fillId="0" borderId="0" xfId="207" applyNumberFormat="1" applyFont="1" applyFill="1" applyBorder="1" applyAlignment="1" applyProtection="1"/>
    <xf numFmtId="37" fontId="8" fillId="0" borderId="0" xfId="207" applyNumberFormat="1" applyFont="1" applyFill="1" applyBorder="1" applyAlignment="1" applyProtection="1"/>
    <xf numFmtId="0" fontId="9" fillId="0" borderId="0" xfId="207" applyFont="1" applyBorder="1" applyProtection="1"/>
    <xf numFmtId="173" fontId="8" fillId="0" borderId="14" xfId="86" applyNumberFormat="1" applyFont="1" applyFill="1" applyBorder="1" applyAlignment="1" applyProtection="1"/>
    <xf numFmtId="0" fontId="12" fillId="0" borderId="14" xfId="207" applyNumberFormat="1" applyFont="1" applyFill="1" applyBorder="1" applyAlignment="1" applyProtection="1">
      <alignment horizontal="left"/>
    </xf>
    <xf numFmtId="173" fontId="12" fillId="0" borderId="14" xfId="89" applyNumberFormat="1" applyFont="1" applyFill="1" applyBorder="1" applyAlignment="1" applyProtection="1">
      <alignment horizontal="right"/>
    </xf>
    <xf numFmtId="0" fontId="2" fillId="0" borderId="0" xfId="248" applyFill="1" applyAlignment="1" applyProtection="1">
      <alignment horizontal="left"/>
    </xf>
    <xf numFmtId="0" fontId="2" fillId="0" borderId="0" xfId="248" applyFill="1" applyProtection="1"/>
    <xf numFmtId="0" fontId="80" fillId="0" borderId="0" xfId="248" applyFont="1" applyFill="1" applyBorder="1" applyProtection="1"/>
    <xf numFmtId="173" fontId="2" fillId="0" borderId="0" xfId="86" applyNumberFormat="1" applyProtection="1"/>
    <xf numFmtId="173" fontId="2" fillId="0" borderId="0" xfId="86" applyNumberFormat="1" applyFill="1" applyProtection="1"/>
    <xf numFmtId="173" fontId="12" fillId="0" borderId="0" xfId="86" applyNumberFormat="1" applyFont="1" applyFill="1" applyProtection="1"/>
    <xf numFmtId="173" fontId="2" fillId="0" borderId="0" xfId="86" applyNumberFormat="1" applyFont="1" applyFill="1" applyProtection="1"/>
    <xf numFmtId="0" fontId="9" fillId="0" borderId="0" xfId="24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0" fontId="152" fillId="0" borderId="0" xfId="207" applyFont="1" applyBorder="1" applyProtection="1"/>
    <xf numFmtId="38" fontId="12" fillId="0" borderId="0" xfId="0" applyNumberFormat="1" applyFont="1" applyFill="1" applyBorder="1" applyProtection="1"/>
    <xf numFmtId="0" fontId="32" fillId="0" borderId="0" xfId="248" applyFont="1" applyFill="1" applyAlignment="1" applyProtection="1">
      <alignment horizontal="left"/>
    </xf>
    <xf numFmtId="0" fontId="32" fillId="0" borderId="0" xfId="248" applyFont="1" applyFill="1" applyProtection="1"/>
    <xf numFmtId="0" fontId="96" fillId="0" borderId="0" xfId="248" applyFont="1" applyFill="1" applyAlignment="1" applyProtection="1">
      <alignment horizontal="center"/>
    </xf>
    <xf numFmtId="0" fontId="97" fillId="0" borderId="0" xfId="248" applyFont="1" applyFill="1" applyBorder="1" applyProtection="1"/>
    <xf numFmtId="37" fontId="0" fillId="0" borderId="0" xfId="0" applyNumberFormat="1" applyProtection="1"/>
    <xf numFmtId="37" fontId="8" fillId="30" borderId="0" xfId="0" applyNumberFormat="1" applyFont="1" applyFill="1" applyProtection="1">
      <protection locked="0"/>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Alignment="1" applyProtection="1">
      <alignment horizontal="center"/>
    </xf>
    <xf numFmtId="0" fontId="121" fillId="0" borderId="0" xfId="0" applyFont="1" applyAlignment="1" applyProtection="1">
      <alignment horizontal="center"/>
    </xf>
    <xf numFmtId="0" fontId="121" fillId="0" borderId="0" xfId="0" applyFont="1" applyAlignment="1" applyProtection="1">
      <alignment horizontal="left"/>
    </xf>
    <xf numFmtId="0" fontId="121"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9" fillId="0" borderId="0" xfId="255" applyFont="1" applyFill="1" applyAlignment="1" applyProtection="1"/>
    <xf numFmtId="0" fontId="120" fillId="0" borderId="0" xfId="0" applyFont="1" applyAlignment="1" applyProtection="1">
      <alignment horizontal="center"/>
    </xf>
    <xf numFmtId="174" fontId="12" fillId="0" borderId="0" xfId="86" applyNumberFormat="1" applyFont="1" applyFill="1" applyProtection="1"/>
    <xf numFmtId="174" fontId="0" fillId="0" borderId="0" xfId="0" applyNumberFormat="1" applyProtection="1"/>
    <xf numFmtId="43" fontId="8" fillId="30" borderId="0" xfId="0" applyNumberFormat="1" applyFont="1" applyFill="1" applyProtection="1">
      <protection locked="0"/>
    </xf>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60" applyFont="1" applyProtection="1"/>
    <xf numFmtId="0" fontId="3" fillId="0" borderId="0" xfId="260" applyFont="1" applyAlignment="1" applyProtection="1">
      <alignment horizontal="right"/>
    </xf>
    <xf numFmtId="0" fontId="10" fillId="0" borderId="0" xfId="260" applyFont="1" applyAlignment="1" applyProtection="1">
      <alignment horizontal="center"/>
    </xf>
    <xf numFmtId="0" fontId="26" fillId="0" borderId="0" xfId="0" applyFont="1" applyProtection="1"/>
    <xf numFmtId="0" fontId="5" fillId="0" borderId="0" xfId="260" applyFont="1" applyProtection="1"/>
    <xf numFmtId="0" fontId="82" fillId="0" borderId="0" xfId="260" applyFont="1" applyProtection="1"/>
    <xf numFmtId="0" fontId="26" fillId="0" borderId="0" xfId="0" applyFont="1" applyAlignment="1" applyProtection="1">
      <alignment horizontal="center"/>
    </xf>
    <xf numFmtId="0" fontId="10" fillId="0" borderId="0" xfId="260" applyFont="1" applyBorder="1" applyAlignment="1" applyProtection="1">
      <alignment horizontal="center"/>
    </xf>
    <xf numFmtId="0" fontId="3" fillId="0" borderId="0" xfId="0" applyFont="1" applyAlignment="1" applyProtection="1">
      <alignment horizontal="right"/>
    </xf>
    <xf numFmtId="0" fontId="6" fillId="0" borderId="0" xfId="260" applyFont="1" applyFill="1" applyProtection="1"/>
    <xf numFmtId="0" fontId="26" fillId="0" borderId="0" xfId="260" applyFont="1" applyAlignment="1" applyProtection="1">
      <alignment horizontal="center"/>
    </xf>
    <xf numFmtId="0" fontId="9" fillId="0" borderId="0" xfId="260" applyFont="1" applyFill="1" applyAlignment="1" applyProtection="1">
      <alignment horizontal="center"/>
    </xf>
    <xf numFmtId="0" fontId="9" fillId="0" borderId="0" xfId="260" applyFont="1" applyFill="1" applyProtection="1"/>
    <xf numFmtId="0" fontId="101" fillId="0" borderId="0" xfId="0" applyFont="1" applyProtection="1"/>
    <xf numFmtId="0" fontId="101" fillId="0" borderId="0" xfId="260" applyFont="1" applyProtection="1"/>
    <xf numFmtId="0" fontId="12" fillId="0" borderId="0" xfId="260" applyFont="1" applyProtection="1"/>
    <xf numFmtId="173" fontId="12" fillId="0" borderId="0" xfId="260" applyNumberFormat="1" applyFont="1" applyFill="1" applyProtection="1"/>
    <xf numFmtId="0" fontId="12" fillId="0" borderId="0" xfId="0" applyFont="1" applyAlignment="1" applyProtection="1">
      <alignment horizontal="center"/>
    </xf>
    <xf numFmtId="172" fontId="12" fillId="0" borderId="0" xfId="260" applyNumberFormat="1" applyFont="1" applyFill="1" applyAlignment="1" applyProtection="1">
      <alignment horizontal="center"/>
    </xf>
    <xf numFmtId="0" fontId="12" fillId="0" borderId="0" xfId="260" applyFont="1" applyFill="1" applyProtection="1"/>
    <xf numFmtId="0" fontId="9" fillId="0" borderId="0" xfId="260" applyFont="1" applyProtection="1"/>
    <xf numFmtId="43" fontId="12" fillId="0" borderId="0" xfId="112" applyFont="1" applyFill="1" applyProtection="1"/>
    <xf numFmtId="0" fontId="94" fillId="0" borderId="0" xfId="260" applyFont="1" applyProtection="1"/>
    <xf numFmtId="185" fontId="12" fillId="0" borderId="0" xfId="0" applyNumberFormat="1" applyFont="1" applyProtection="1"/>
    <xf numFmtId="173" fontId="12" fillId="0" borderId="0" xfId="260" applyNumberFormat="1" applyFont="1" applyProtection="1"/>
    <xf numFmtId="173" fontId="12" fillId="0" borderId="13" xfId="0" applyNumberFormat="1" applyFont="1" applyBorder="1" applyProtection="1"/>
    <xf numFmtId="173" fontId="12" fillId="0" borderId="0" xfId="260" applyNumberFormat="1" applyFont="1" applyBorder="1" applyProtection="1"/>
    <xf numFmtId="0" fontId="94" fillId="0" borderId="0" xfId="260" applyFont="1" applyFill="1" applyProtection="1"/>
    <xf numFmtId="173" fontId="12" fillId="0" borderId="13" xfId="260" applyNumberFormat="1" applyFont="1" applyBorder="1" applyProtection="1"/>
    <xf numFmtId="0" fontId="26" fillId="0" borderId="0" xfId="260" applyFont="1" applyProtection="1"/>
    <xf numFmtId="43" fontId="5" fillId="0" borderId="0" xfId="112" applyFont="1" applyFill="1" applyProtection="1"/>
    <xf numFmtId="173" fontId="5" fillId="0" borderId="0" xfId="260" applyNumberFormat="1" applyFont="1" applyProtection="1"/>
    <xf numFmtId="173" fontId="5" fillId="0" borderId="0" xfId="260" applyNumberFormat="1" applyFont="1" applyBorder="1" applyProtection="1"/>
    <xf numFmtId="0" fontId="9" fillId="0" borderId="0" xfId="0" applyFont="1" applyFill="1" applyBorder="1" applyAlignment="1" applyProtection="1">
      <alignment horizontal="center"/>
    </xf>
    <xf numFmtId="0" fontId="101" fillId="0" borderId="0" xfId="0" applyFont="1" applyFill="1" applyProtection="1"/>
    <xf numFmtId="0" fontId="6" fillId="0" borderId="0" xfId="0" applyFont="1" applyFill="1" applyBorder="1" applyAlignment="1" applyProtection="1">
      <alignment horizontal="center"/>
    </xf>
    <xf numFmtId="0" fontId="3" fillId="0" borderId="0" xfId="0" applyFont="1" applyFill="1" applyProtection="1"/>
    <xf numFmtId="173" fontId="8" fillId="30" borderId="0" xfId="112" applyNumberFormat="1" applyFont="1" applyFill="1" applyProtection="1">
      <protection locked="0"/>
    </xf>
    <xf numFmtId="41" fontId="19" fillId="30" borderId="0" xfId="248" applyNumberFormat="1" applyFont="1" applyFill="1" applyBorder="1" applyProtection="1">
      <protection locked="0"/>
    </xf>
    <xf numFmtId="3" fontId="19" fillId="30" borderId="0" xfId="0" applyNumberFormat="1" applyFont="1" applyFill="1" applyAlignment="1" applyProtection="1">
      <protection locked="0"/>
    </xf>
    <xf numFmtId="41" fontId="27" fillId="30" borderId="0" xfId="248" applyNumberFormat="1" applyFont="1" applyFill="1" applyBorder="1" applyProtection="1">
      <protection locked="0"/>
    </xf>
    <xf numFmtId="0" fontId="4" fillId="0" borderId="0" xfId="0" applyFont="1" applyProtection="1"/>
    <xf numFmtId="0" fontId="18" fillId="0" borderId="0" xfId="0" applyFont="1" applyProtection="1"/>
    <xf numFmtId="0" fontId="18" fillId="0" borderId="0" xfId="0" applyFont="1" applyAlignment="1" applyProtection="1">
      <alignment horizontal="right"/>
    </xf>
    <xf numFmtId="0" fontId="5" fillId="0" borderId="0" xfId="0" applyFont="1" applyAlignment="1" applyProtection="1">
      <alignment horizontal="center" wrapText="1"/>
    </xf>
    <xf numFmtId="0" fontId="5" fillId="0" borderId="0" xfId="0" applyFont="1" applyFill="1" applyAlignment="1" applyProtection="1"/>
    <xf numFmtId="37" fontId="5" fillId="0" borderId="0" xfId="0" applyNumberFormat="1" applyFont="1" applyFill="1" applyAlignment="1" applyProtection="1"/>
    <xf numFmtId="37" fontId="5" fillId="0" borderId="0" xfId="0" applyNumberFormat="1" applyFont="1" applyFill="1" applyAlignment="1" applyProtection="1">
      <alignment horizontal="center"/>
    </xf>
    <xf numFmtId="0" fontId="15" fillId="0" borderId="0" xfId="0" applyFont="1" applyFill="1" applyProtection="1"/>
    <xf numFmtId="0" fontId="0" fillId="0" borderId="0" xfId="0" applyFont="1" applyFill="1" applyAlignment="1" applyProtection="1">
      <alignment horizontal="center"/>
    </xf>
    <xf numFmtId="10" fontId="5" fillId="0" borderId="0" xfId="0" applyNumberFormat="1" applyFont="1" applyFill="1" applyBorder="1" applyAlignment="1" applyProtection="1"/>
    <xf numFmtId="176" fontId="5" fillId="0" borderId="0" xfId="0" applyNumberFormat="1" applyFont="1" applyFill="1" applyProtection="1"/>
    <xf numFmtId="10" fontId="5" fillId="0" borderId="14" xfId="0" applyNumberFormat="1" applyFont="1" applyFill="1" applyBorder="1" applyAlignment="1" applyProtection="1"/>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30" borderId="0" xfId="0" applyFont="1" applyFill="1" applyAlignment="1" applyProtection="1">
      <protection locked="0"/>
    </xf>
    <xf numFmtId="0" fontId="12" fillId="0" borderId="0" xfId="256" applyFont="1" applyProtection="1"/>
    <xf numFmtId="0" fontId="5" fillId="0" borderId="0" xfId="256" applyFont="1" applyProtection="1"/>
    <xf numFmtId="0" fontId="18" fillId="0" borderId="0" xfId="256" applyNumberFormat="1" applyFont="1" applyAlignment="1" applyProtection="1">
      <alignment horizontal="center"/>
    </xf>
    <xf numFmtId="0" fontId="18" fillId="0" borderId="0" xfId="256" applyNumberFormat="1" applyFont="1" applyProtection="1"/>
    <xf numFmtId="0" fontId="6" fillId="0" borderId="0" xfId="248" applyFont="1" applyFill="1" applyAlignment="1" applyProtection="1">
      <alignment horizontal="center"/>
    </xf>
    <xf numFmtId="0" fontId="12" fillId="0" borderId="0" xfId="256" applyNumberFormat="1" applyFont="1" applyProtection="1"/>
    <xf numFmtId="0" fontId="4" fillId="0" borderId="0" xfId="256" applyNumberFormat="1" applyFont="1" applyAlignment="1" applyProtection="1">
      <alignment horizontal="center"/>
    </xf>
    <xf numFmtId="0" fontId="4" fillId="0" borderId="0" xfId="256" applyNumberFormat="1" applyFont="1" applyProtection="1"/>
    <xf numFmtId="185" fontId="4" fillId="0" borderId="0" xfId="256" applyNumberFormat="1" applyFont="1" applyAlignment="1" applyProtection="1">
      <alignment horizontal="center"/>
    </xf>
    <xf numFmtId="0" fontId="74" fillId="0" borderId="0" xfId="256" applyFont="1" applyProtection="1"/>
    <xf numFmtId="0" fontId="9" fillId="0" borderId="0" xfId="256" applyFont="1" applyProtection="1"/>
    <xf numFmtId="0" fontId="4" fillId="0" borderId="11" xfId="256" applyNumberFormat="1" applyFont="1" applyBorder="1" applyAlignment="1" applyProtection="1">
      <alignment horizontal="center"/>
    </xf>
    <xf numFmtId="185" fontId="4" fillId="0" borderId="11" xfId="256" applyNumberFormat="1" applyFont="1" applyBorder="1" applyAlignment="1" applyProtection="1">
      <alignment horizontal="center"/>
    </xf>
    <xf numFmtId="0" fontId="74" fillId="0" borderId="11" xfId="256" applyFont="1" applyBorder="1" applyAlignment="1" applyProtection="1">
      <alignment horizontal="center"/>
    </xf>
    <xf numFmtId="0" fontId="9" fillId="0" borderId="0" xfId="256" applyFont="1" applyAlignment="1" applyProtection="1">
      <alignment horizontal="center"/>
    </xf>
    <xf numFmtId="0" fontId="18" fillId="0" borderId="0" xfId="256" applyNumberFormat="1" applyFont="1" applyBorder="1" applyAlignment="1" applyProtection="1">
      <alignment horizontal="center"/>
    </xf>
    <xf numFmtId="185" fontId="18" fillId="0" borderId="0" xfId="256" applyNumberFormat="1" applyFont="1" applyAlignment="1" applyProtection="1">
      <alignment horizontal="center"/>
    </xf>
    <xf numFmtId="0" fontId="71" fillId="0" borderId="0" xfId="256" applyFont="1" applyProtection="1"/>
    <xf numFmtId="185" fontId="72" fillId="0" borderId="0" xfId="256" applyNumberFormat="1" applyFont="1" applyProtection="1"/>
    <xf numFmtId="0" fontId="18" fillId="0" borderId="0" xfId="256" applyFont="1" applyProtection="1"/>
    <xf numFmtId="185" fontId="18" fillId="0" borderId="0" xfId="256" applyNumberFormat="1" applyFont="1" applyProtection="1"/>
    <xf numFmtId="0" fontId="73" fillId="0" borderId="0" xfId="256" applyFont="1" applyProtection="1"/>
    <xf numFmtId="173" fontId="71" fillId="0" borderId="0" xfId="256" applyNumberFormat="1" applyFont="1" applyBorder="1" applyProtection="1"/>
    <xf numFmtId="173" fontId="71" fillId="0" borderId="0" xfId="256" applyNumberFormat="1" applyFont="1" applyProtection="1"/>
    <xf numFmtId="173" fontId="71" fillId="0" borderId="0" xfId="256" applyNumberFormat="1" applyFont="1" applyFill="1" applyBorder="1" applyProtection="1"/>
    <xf numFmtId="0" fontId="71" fillId="0" borderId="0" xfId="256" applyFont="1" applyFill="1" applyBorder="1" applyProtection="1"/>
    <xf numFmtId="173" fontId="89" fillId="0" borderId="0" xfId="256" applyNumberFormat="1" applyFont="1" applyFill="1" applyBorder="1" applyProtection="1"/>
    <xf numFmtId="173" fontId="5" fillId="0" borderId="0" xfId="256" applyNumberFormat="1" applyFont="1" applyProtection="1"/>
    <xf numFmtId="173" fontId="76" fillId="0" borderId="0" xfId="256" applyNumberFormat="1" applyFont="1" applyProtection="1"/>
    <xf numFmtId="185" fontId="5" fillId="0" borderId="0" xfId="256" applyNumberFormat="1" applyFont="1" applyProtection="1"/>
    <xf numFmtId="173" fontId="76" fillId="0" borderId="0" xfId="86" applyNumberFormat="1" applyFont="1" applyProtection="1"/>
    <xf numFmtId="0" fontId="116" fillId="0" borderId="0" xfId="255" applyNumberFormat="1" applyFont="1" applyBorder="1" applyAlignment="1" applyProtection="1"/>
    <xf numFmtId="0" fontId="99" fillId="0" borderId="0" xfId="256" applyFont="1" applyFill="1" applyBorder="1" applyProtection="1"/>
    <xf numFmtId="0" fontId="99" fillId="0" borderId="0" xfId="256" applyFont="1" applyProtection="1"/>
    <xf numFmtId="173" fontId="117" fillId="0" borderId="0" xfId="256" applyNumberFormat="1" applyFont="1" applyProtection="1"/>
    <xf numFmtId="185" fontId="118" fillId="0" borderId="0" xfId="256" applyNumberFormat="1" applyFont="1" applyProtection="1"/>
    <xf numFmtId="173" fontId="117" fillId="0" borderId="0" xfId="86" applyNumberFormat="1" applyFont="1" applyProtection="1"/>
    <xf numFmtId="173" fontId="99" fillId="0" borderId="0" xfId="256" applyNumberFormat="1" applyFont="1" applyProtection="1"/>
    <xf numFmtId="0" fontId="71" fillId="0" borderId="0" xfId="256" applyFont="1" applyFill="1" applyProtection="1"/>
    <xf numFmtId="0" fontId="75" fillId="0" borderId="0" xfId="253" applyFont="1" applyFill="1" applyAlignment="1" applyProtection="1">
      <alignment horizontal="center"/>
    </xf>
    <xf numFmtId="0" fontId="75" fillId="0" borderId="0" xfId="253" applyFont="1" applyFill="1" applyAlignment="1" applyProtection="1">
      <alignment horizontal="left" indent="2"/>
    </xf>
    <xf numFmtId="39" fontId="75" fillId="0" borderId="0" xfId="253" applyNumberFormat="1" applyFont="1" applyFill="1" applyProtection="1"/>
    <xf numFmtId="173" fontId="71" fillId="0" borderId="0" xfId="256" applyNumberFormat="1" applyFont="1" applyFill="1" applyProtection="1"/>
    <xf numFmtId="43" fontId="71" fillId="0" borderId="0" xfId="86" applyFont="1" applyProtection="1"/>
    <xf numFmtId="43" fontId="76" fillId="0" borderId="0" xfId="86" applyFont="1" applyProtection="1"/>
    <xf numFmtId="173" fontId="5" fillId="0" borderId="0" xfId="86" applyNumberFormat="1" applyFont="1" applyProtection="1"/>
    <xf numFmtId="0" fontId="18" fillId="0" borderId="0" xfId="253" applyFont="1" applyFill="1" applyAlignment="1" applyProtection="1">
      <alignment horizontal="center"/>
    </xf>
    <xf numFmtId="173" fontId="71" fillId="0" borderId="14" xfId="86" applyNumberFormat="1" applyFont="1" applyBorder="1" applyProtection="1"/>
    <xf numFmtId="0" fontId="74" fillId="0" borderId="0" xfId="256" applyFont="1" applyAlignment="1" applyProtection="1">
      <alignment horizontal="center" wrapText="1"/>
    </xf>
    <xf numFmtId="0" fontId="79" fillId="0" borderId="0" xfId="256" applyFont="1" applyAlignment="1" applyProtection="1">
      <alignment horizontal="center"/>
    </xf>
    <xf numFmtId="0" fontId="18" fillId="0" borderId="0" xfId="256" applyNumberFormat="1" applyFont="1" applyFill="1" applyAlignment="1" applyProtection="1">
      <alignment horizontal="center"/>
    </xf>
    <xf numFmtId="0" fontId="12" fillId="0" borderId="0" xfId="256" applyNumberFormat="1" applyFont="1" applyFill="1" applyProtection="1"/>
    <xf numFmtId="0" fontId="99" fillId="0" borderId="0" xfId="256" applyFont="1" applyFill="1" applyProtection="1"/>
    <xf numFmtId="41" fontId="99" fillId="0" borderId="0" xfId="256" applyNumberFormat="1" applyFont="1" applyFill="1" applyProtection="1"/>
    <xf numFmtId="41" fontId="99" fillId="0" borderId="0" xfId="256" applyNumberFormat="1" applyFont="1" applyFill="1" applyBorder="1" applyProtection="1"/>
    <xf numFmtId="41" fontId="71" fillId="0" borderId="0" xfId="256" applyNumberFormat="1" applyFont="1" applyFill="1" applyProtection="1"/>
    <xf numFmtId="10" fontId="71" fillId="0" borderId="0" xfId="267" applyNumberFormat="1" applyFont="1" applyFill="1" applyProtection="1"/>
    <xf numFmtId="41" fontId="71" fillId="0" borderId="0" xfId="256" applyNumberFormat="1" applyFont="1" applyFill="1" applyBorder="1" applyProtection="1"/>
    <xf numFmtId="164" fontId="71" fillId="0" borderId="0" xfId="267" applyNumberFormat="1" applyFont="1" applyFill="1" applyProtection="1"/>
    <xf numFmtId="187" fontId="12" fillId="0" borderId="0" xfId="267" applyNumberFormat="1" applyFont="1" applyFill="1" applyProtection="1"/>
    <xf numFmtId="41" fontId="84" fillId="28" borderId="0" xfId="256" applyNumberFormat="1" applyFont="1" applyFill="1" applyProtection="1"/>
    <xf numFmtId="41" fontId="84" fillId="28" borderId="0" xfId="256" applyNumberFormat="1" applyFont="1" applyFill="1" applyBorder="1" applyProtection="1"/>
    <xf numFmtId="10" fontId="71" fillId="0" borderId="11" xfId="267" applyNumberFormat="1" applyFont="1" applyFill="1" applyBorder="1" applyProtection="1"/>
    <xf numFmtId="173" fontId="71" fillId="0" borderId="0" xfId="86" applyNumberFormat="1" applyFont="1" applyFill="1" applyProtection="1"/>
    <xf numFmtId="10" fontId="71" fillId="0" borderId="0" xfId="267" applyNumberFormat="1" applyFont="1" applyFill="1" applyBorder="1" applyProtection="1"/>
    <xf numFmtId="173" fontId="71" fillId="0" borderId="0" xfId="86" applyNumberFormat="1" applyFont="1" applyFill="1" applyBorder="1" applyProtection="1"/>
    <xf numFmtId="0" fontId="12" fillId="0" borderId="0" xfId="256" applyNumberFormat="1" applyFont="1" applyAlignment="1" applyProtection="1">
      <alignment horizontal="center"/>
    </xf>
    <xf numFmtId="185" fontId="12" fillId="0" borderId="0" xfId="256" applyNumberFormat="1" applyFont="1" applyProtection="1"/>
    <xf numFmtId="173" fontId="12" fillId="0" borderId="0" xfId="256" applyNumberFormat="1" applyFont="1" applyProtection="1"/>
    <xf numFmtId="173" fontId="71" fillId="0" borderId="18" xfId="86" applyNumberFormat="1" applyFont="1" applyFill="1" applyBorder="1" applyProtection="1"/>
    <xf numFmtId="0" fontId="74" fillId="30" borderId="0" xfId="256" applyFont="1" applyFill="1" applyProtection="1">
      <protection locked="0"/>
    </xf>
    <xf numFmtId="0" fontId="99" fillId="30" borderId="0" xfId="256" applyFont="1" applyFill="1" applyProtection="1">
      <protection locked="0"/>
    </xf>
    <xf numFmtId="0" fontId="71" fillId="30" borderId="0" xfId="256" applyFont="1" applyFill="1" applyProtection="1">
      <protection locked="0"/>
    </xf>
    <xf numFmtId="10" fontId="78" fillId="30" borderId="11" xfId="267" applyNumberFormat="1" applyFont="1" applyFill="1" applyBorder="1" applyProtection="1">
      <protection locked="0"/>
    </xf>
    <xf numFmtId="173" fontId="78" fillId="30" borderId="0" xfId="256" applyNumberFormat="1" applyFont="1" applyFill="1" applyBorder="1" applyProtection="1">
      <protection locked="0"/>
    </xf>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0" fillId="0" borderId="0" xfId="0" applyAlignment="1" applyProtection="1">
      <alignment wrapText="1"/>
    </xf>
    <xf numFmtId="0" fontId="6" fillId="0" borderId="0" xfId="0" applyFont="1" applyAlignment="1" applyProtection="1">
      <alignment horizontal="left"/>
    </xf>
    <xf numFmtId="0" fontId="12" fillId="0" borderId="0" xfId="255" applyNumberFormat="1" applyFont="1" applyBorder="1" applyAlignment="1" applyProtection="1"/>
    <xf numFmtId="3" fontId="12" fillId="0" borderId="0" xfId="255" applyNumberFormat="1" applyFont="1" applyAlignment="1" applyProtection="1"/>
    <xf numFmtId="10" fontId="2" fillId="0" borderId="0" xfId="267" applyNumberFormat="1" applyAlignment="1" applyProtection="1">
      <alignment horizontal="right"/>
    </xf>
    <xf numFmtId="172" fontId="12" fillId="0" borderId="0" xfId="255" applyFont="1" applyAlignment="1" applyProtection="1"/>
    <xf numFmtId="172" fontId="12" fillId="0" borderId="0" xfId="255" applyFont="1" applyBorder="1" applyAlignment="1" applyProtection="1"/>
    <xf numFmtId="3" fontId="12" fillId="0" borderId="0" xfId="255" applyNumberFormat="1" applyFont="1" applyFill="1" applyAlignment="1" applyProtection="1"/>
    <xf numFmtId="10" fontId="12" fillId="0" borderId="0" xfId="267" applyNumberFormat="1" applyFont="1" applyFill="1" applyAlignment="1" applyProtection="1">
      <alignment horizontal="right"/>
    </xf>
    <xf numFmtId="3" fontId="9" fillId="0" borderId="0" xfId="255" applyNumberFormat="1" applyFont="1" applyAlignment="1" applyProtection="1"/>
    <xf numFmtId="10" fontId="12" fillId="0" borderId="0" xfId="255" applyNumberFormat="1" applyFont="1" applyFill="1" applyAlignment="1" applyProtection="1">
      <alignment horizontal="right"/>
    </xf>
    <xf numFmtId="3" fontId="13" fillId="0" borderId="0" xfId="255" applyNumberFormat="1" applyFont="1" applyAlignment="1" applyProtection="1">
      <alignment horizontal="center"/>
    </xf>
    <xf numFmtId="10" fontId="13" fillId="0" borderId="0" xfId="255" applyNumberFormat="1" applyFont="1" applyFill="1" applyAlignment="1" applyProtection="1">
      <alignment horizontal="center"/>
    </xf>
    <xf numFmtId="0" fontId="12"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67" applyNumberFormat="1" applyFont="1" applyAlignment="1" applyProtection="1"/>
    <xf numFmtId="166" fontId="12" fillId="0" borderId="0" xfId="255" applyNumberFormat="1" applyFont="1" applyAlignment="1" applyProtection="1">
      <alignment horizontal="center"/>
    </xf>
    <xf numFmtId="166" fontId="12" fillId="0" borderId="0" xfId="255" applyNumberFormat="1" applyFont="1" applyBorder="1" applyAlignment="1" applyProtection="1">
      <alignment horizontal="center"/>
    </xf>
    <xf numFmtId="41" fontId="12" fillId="0" borderId="0" xfId="255" applyNumberFormat="1" applyFont="1" applyAlignment="1" applyProtection="1"/>
    <xf numFmtId="41" fontId="12" fillId="0" borderId="0" xfId="255" applyNumberFormat="1" applyFont="1" applyAlignment="1" applyProtection="1">
      <alignment horizontal="center"/>
    </xf>
    <xf numFmtId="41" fontId="12" fillId="0" borderId="0" xfId="255" applyNumberFormat="1" applyFont="1" applyBorder="1" applyAlignment="1" applyProtection="1">
      <alignment horizontal="center"/>
    </xf>
    <xf numFmtId="0" fontId="12" fillId="0" borderId="0" xfId="255" applyNumberFormat="1" applyFont="1" applyBorder="1" applyAlignment="1" applyProtection="1">
      <alignment horizontal="right"/>
    </xf>
    <xf numFmtId="164" fontId="13" fillId="0" borderId="0" xfId="267" applyNumberFormat="1" applyFont="1" applyAlignment="1" applyProtection="1"/>
    <xf numFmtId="3" fontId="12" fillId="0" borderId="0" xfId="255" applyNumberFormat="1" applyFont="1" applyAlignment="1" applyProtection="1">
      <alignment horizontal="right"/>
    </xf>
    <xf numFmtId="172" fontId="2" fillId="0" borderId="19" xfId="255" applyFont="1" applyBorder="1" applyAlignment="1" applyProtection="1"/>
    <xf numFmtId="0" fontId="2" fillId="0" borderId="0" xfId="255" applyNumberFormat="1" applyFont="1" applyBorder="1" applyAlignment="1" applyProtection="1">
      <alignment horizontal="center"/>
    </xf>
    <xf numFmtId="172" fontId="2" fillId="0" borderId="0" xfId="255" applyFont="1" applyBorder="1" applyAlignment="1" applyProtection="1"/>
    <xf numFmtId="3" fontId="2" fillId="0" borderId="20" xfId="255" applyNumberFormat="1" applyFont="1" applyBorder="1" applyAlignment="1" applyProtection="1"/>
    <xf numFmtId="10" fontId="12" fillId="0" borderId="0" xfId="255" applyNumberFormat="1" applyFont="1" applyFill="1" applyAlignment="1" applyProtection="1">
      <alignment horizontal="left"/>
    </xf>
    <xf numFmtId="41" fontId="12" fillId="0" borderId="0" xfId="255" applyNumberFormat="1" applyFont="1" applyBorder="1" applyAlignment="1" applyProtection="1"/>
    <xf numFmtId="0" fontId="2" fillId="0" borderId="19" xfId="0" applyFont="1" applyBorder="1" applyProtection="1"/>
    <xf numFmtId="0" fontId="2" fillId="0" borderId="0" xfId="0" applyFont="1" applyBorder="1" applyProtection="1"/>
    <xf numFmtId="0" fontId="2" fillId="0" borderId="20" xfId="0" applyFont="1" applyBorder="1" applyProtection="1"/>
    <xf numFmtId="41" fontId="12" fillId="0" borderId="0" xfId="255" applyNumberFormat="1" applyFont="1" applyFill="1" applyAlignment="1" applyProtection="1"/>
    <xf numFmtId="166" fontId="2" fillId="0" borderId="21" xfId="255" applyNumberFormat="1" applyFont="1" applyBorder="1" applyAlignment="1" applyProtection="1">
      <alignment horizontal="center"/>
    </xf>
    <xf numFmtId="0" fontId="2" fillId="0" borderId="6" xfId="255" applyNumberFormat="1" applyFont="1" applyBorder="1" applyAlignment="1" applyProtection="1">
      <alignment horizontal="center"/>
    </xf>
    <xf numFmtId="174" fontId="2" fillId="0" borderId="22" xfId="0" applyNumberFormat="1" applyFont="1" applyBorder="1" applyProtection="1"/>
    <xf numFmtId="41" fontId="2" fillId="0" borderId="0" xfId="255" applyNumberFormat="1" applyFont="1" applyBorder="1" applyAlignment="1" applyProtection="1"/>
    <xf numFmtId="173" fontId="2" fillId="0" borderId="0" xfId="255" applyNumberFormat="1" applyFont="1" applyBorder="1" applyAlignment="1" applyProtection="1">
      <alignment horizontal="center"/>
    </xf>
    <xf numFmtId="41" fontId="12" fillId="0" borderId="0" xfId="255" applyNumberFormat="1" applyFont="1" applyFill="1" applyAlignment="1" applyProtection="1">
      <alignment horizontal="left"/>
    </xf>
    <xf numFmtId="41" fontId="2" fillId="0" borderId="0" xfId="255" applyNumberFormat="1" applyFont="1" applyFill="1" applyBorder="1" applyAlignment="1" applyProtection="1">
      <alignment horizontal="right"/>
    </xf>
    <xf numFmtId="167" fontId="12" fillId="0" borderId="0" xfId="255" applyNumberFormat="1" applyFont="1" applyAlignment="1" applyProtection="1"/>
    <xf numFmtId="164" fontId="12" fillId="0" borderId="0" xfId="255" applyNumberFormat="1" applyFont="1" applyFill="1" applyBorder="1" applyAlignment="1" applyProtection="1">
      <alignment horizontal="left"/>
    </xf>
    <xf numFmtId="164" fontId="12" fillId="0" borderId="0" xfId="255" applyNumberFormat="1" applyFont="1" applyBorder="1" applyAlignment="1" applyProtection="1">
      <alignment horizontal="left"/>
    </xf>
    <xf numFmtId="3" fontId="12" fillId="0" borderId="0" xfId="255" applyNumberFormat="1" applyFont="1" applyAlignment="1" applyProtection="1">
      <alignment vertical="center" wrapText="1"/>
    </xf>
    <xf numFmtId="41" fontId="12" fillId="0" borderId="0" xfId="255" applyNumberFormat="1" applyFont="1" applyBorder="1" applyAlignment="1" applyProtection="1">
      <alignment vertical="center"/>
    </xf>
    <xf numFmtId="41" fontId="12" fillId="0" borderId="0" xfId="255" applyNumberFormat="1" applyFont="1" applyBorder="1" applyAlignment="1" applyProtection="1">
      <alignment horizontal="center" vertical="center"/>
    </xf>
    <xf numFmtId="41" fontId="12" fillId="0" borderId="0" xfId="255"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55" applyNumberFormat="1" applyFont="1" applyFill="1" applyBorder="1" applyAlignment="1" applyProtection="1"/>
    <xf numFmtId="41" fontId="12" fillId="0" borderId="6" xfId="255" applyNumberFormat="1" applyFont="1" applyFill="1" applyBorder="1" applyAlignment="1" applyProtection="1"/>
    <xf numFmtId="0" fontId="12" fillId="0" borderId="0" xfId="255" applyNumberFormat="1" applyFont="1" applyFill="1" applyBorder="1" applyAlignment="1" applyProtection="1"/>
    <xf numFmtId="3" fontId="12" fillId="0" borderId="0" xfId="255" applyNumberFormat="1" applyFont="1" applyFill="1" applyBorder="1" applyAlignment="1" applyProtection="1"/>
    <xf numFmtId="0" fontId="12" fillId="32" borderId="0" xfId="255" applyNumberFormat="1" applyFont="1" applyFill="1" applyBorder="1" applyAlignment="1" applyProtection="1"/>
    <xf numFmtId="41" fontId="12" fillId="0" borderId="0" xfId="255" applyNumberFormat="1" applyFont="1" applyFill="1" applyBorder="1" applyAlignment="1" applyProtection="1">
      <alignment horizontal="center"/>
    </xf>
    <xf numFmtId="0" fontId="12" fillId="0" borderId="0" xfId="255" applyNumberFormat="1" applyFont="1" applyFill="1" applyBorder="1" applyProtection="1"/>
    <xf numFmtId="41" fontId="13" fillId="0" borderId="0" xfId="255" applyNumberFormat="1" applyFont="1" applyFill="1" applyBorder="1" applyAlignment="1" applyProtection="1"/>
    <xf numFmtId="3" fontId="12" fillId="0" borderId="0" xfId="255" applyNumberFormat="1" applyFont="1" applyFill="1" applyBorder="1" applyAlignment="1" applyProtection="1">
      <alignment horizontal="center"/>
    </xf>
    <xf numFmtId="0" fontId="12" fillId="0" borderId="0" xfId="255" applyNumberFormat="1" applyFont="1" applyFill="1" applyBorder="1" applyAlignment="1" applyProtection="1">
      <alignment horizontal="center"/>
    </xf>
    <xf numFmtId="10" fontId="12" fillId="0" borderId="0" xfId="255" applyNumberFormat="1" applyFont="1" applyFill="1" applyBorder="1" applyAlignment="1" applyProtection="1"/>
    <xf numFmtId="169" fontId="12" fillId="0" borderId="0" xfId="255" applyNumberFormat="1" applyFont="1" applyFill="1" applyBorder="1" applyAlignment="1" applyProtection="1"/>
    <xf numFmtId="172" fontId="12" fillId="0" borderId="0" xfId="255" applyFont="1" applyFill="1" applyBorder="1" applyAlignment="1" applyProtection="1"/>
    <xf numFmtId="169" fontId="9" fillId="0" borderId="0" xfId="255" applyNumberFormat="1" applyFont="1" applyFill="1" applyBorder="1" applyAlignment="1" applyProtection="1"/>
    <xf numFmtId="0" fontId="12" fillId="0" borderId="0" xfId="0" applyFont="1" applyFill="1" applyBorder="1" applyAlignment="1" applyProtection="1">
      <alignment horizontal="center"/>
    </xf>
    <xf numFmtId="0" fontId="12" fillId="0" borderId="0" xfId="0" applyFont="1" applyFill="1" applyBorder="1" applyProtection="1"/>
    <xf numFmtId="41" fontId="12" fillId="0" borderId="0" xfId="0" applyNumberFormat="1" applyFont="1" applyFill="1" applyBorder="1" applyProtection="1"/>
    <xf numFmtId="41" fontId="13" fillId="0" borderId="0" xfId="0" applyNumberFormat="1" applyFont="1" applyProtection="1"/>
    <xf numFmtId="4" fontId="12" fillId="0" borderId="0" xfId="255" applyNumberFormat="1" applyFont="1" applyFill="1" applyBorder="1" applyAlignment="1" applyProtection="1"/>
    <xf numFmtId="10" fontId="13" fillId="0" borderId="0" xfId="0" applyNumberFormat="1" applyFont="1" applyProtection="1"/>
    <xf numFmtId="173" fontId="12" fillId="0" borderId="0" xfId="86" applyNumberFormat="1" applyFont="1" applyBorder="1" applyProtection="1"/>
    <xf numFmtId="43" fontId="12" fillId="0" borderId="0" xfId="86" applyFont="1" applyProtection="1"/>
    <xf numFmtId="43" fontId="12" fillId="0" borderId="0" xfId="86" applyFont="1" applyFill="1" applyProtection="1"/>
    <xf numFmtId="173" fontId="12" fillId="0" borderId="0" xfId="0" applyNumberFormat="1" applyFont="1" applyFill="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0" fontId="11" fillId="0" borderId="0" xfId="0" applyFont="1" applyProtection="1"/>
    <xf numFmtId="0" fontId="12" fillId="27" borderId="0" xfId="0" applyFont="1" applyFill="1" applyBorder="1" applyProtection="1"/>
    <xf numFmtId="0" fontId="6" fillId="0" borderId="0" xfId="0" applyFont="1" applyFill="1" applyProtection="1"/>
    <xf numFmtId="0" fontId="9" fillId="0" borderId="23" xfId="0" applyFont="1" applyBorder="1" applyProtection="1"/>
    <xf numFmtId="0" fontId="9" fillId="0" borderId="17" xfId="0" applyFont="1" applyBorder="1" applyProtection="1"/>
    <xf numFmtId="0" fontId="12" fillId="0" borderId="17" xfId="0" applyFont="1" applyBorder="1" applyProtection="1"/>
    <xf numFmtId="173" fontId="9" fillId="0" borderId="24"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9" xfId="0" applyFont="1" applyBorder="1" applyProtection="1"/>
    <xf numFmtId="0" fontId="6" fillId="0" borderId="0" xfId="86" applyNumberFormat="1" applyFont="1" applyFill="1" applyBorder="1" applyAlignment="1" applyProtection="1">
      <alignment horizontal="left"/>
    </xf>
    <xf numFmtId="173" fontId="9" fillId="0" borderId="25" xfId="86" applyNumberFormat="1" applyFont="1" applyBorder="1" applyProtection="1"/>
    <xf numFmtId="0" fontId="9" fillId="0" borderId="0" xfId="0" applyFont="1" applyFill="1" applyProtection="1"/>
    <xf numFmtId="173" fontId="9" fillId="0" borderId="21" xfId="86" applyNumberFormat="1" applyFont="1" applyBorder="1" applyProtection="1"/>
    <xf numFmtId="173" fontId="12" fillId="0" borderId="6" xfId="86" applyNumberFormat="1" applyFont="1" applyBorder="1" applyProtection="1"/>
    <xf numFmtId="173" fontId="12" fillId="0" borderId="22"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9" xfId="0" applyFont="1" applyFill="1" applyBorder="1" applyProtection="1"/>
    <xf numFmtId="0" fontId="12" fillId="0" borderId="0" xfId="0" applyFont="1" applyBorder="1" applyAlignment="1" applyProtection="1">
      <alignment horizontal="center"/>
    </xf>
    <xf numFmtId="0" fontId="9" fillId="0" borderId="24"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Fill="1" applyBorder="1" applyProtection="1"/>
    <xf numFmtId="173" fontId="12" fillId="0" borderId="20" xfId="0" applyNumberFormat="1" applyFont="1" applyFill="1" applyBorder="1" applyAlignment="1" applyProtection="1">
      <alignment horizontal="right"/>
    </xf>
    <xf numFmtId="10" fontId="12" fillId="0" borderId="0" xfId="0" applyNumberFormat="1" applyFont="1" applyBorder="1" applyProtection="1"/>
    <xf numFmtId="0" fontId="12" fillId="0" borderId="21"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9"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9" xfId="86" applyNumberFormat="1" applyFont="1" applyBorder="1" applyAlignment="1" applyProtection="1">
      <alignment horizontal="center" wrapText="1"/>
    </xf>
    <xf numFmtId="173" fontId="9" fillId="0" borderId="24" xfId="86" applyNumberFormat="1" applyFont="1" applyBorder="1" applyAlignment="1" applyProtection="1">
      <alignment horizontal="center" wrapText="1"/>
    </xf>
    <xf numFmtId="0" fontId="9" fillId="0" borderId="30" xfId="0" applyFont="1" applyBorder="1" applyAlignment="1" applyProtection="1">
      <alignment horizontal="center" wrapText="1"/>
    </xf>
    <xf numFmtId="173" fontId="9" fillId="29" borderId="29" xfId="86" applyNumberFormat="1" applyFont="1" applyFill="1" applyBorder="1" applyAlignment="1" applyProtection="1">
      <alignment horizontal="center" wrapText="1"/>
    </xf>
    <xf numFmtId="0" fontId="9" fillId="0" borderId="31" xfId="0" applyFont="1" applyBorder="1" applyAlignment="1" applyProtection="1">
      <alignment horizontal="center"/>
    </xf>
    <xf numFmtId="0" fontId="9" fillId="0" borderId="6" xfId="0" applyFont="1" applyBorder="1" applyAlignment="1" applyProtection="1">
      <alignment horizontal="center"/>
    </xf>
    <xf numFmtId="173" fontId="9" fillId="0" borderId="31" xfId="86" applyNumberFormat="1" applyFont="1" applyBorder="1" applyAlignment="1" applyProtection="1">
      <alignment horizontal="center"/>
    </xf>
    <xf numFmtId="173" fontId="9" fillId="0" borderId="22" xfId="86" applyNumberFormat="1" applyFont="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173" fontId="9" fillId="29" borderId="31" xfId="86" applyNumberFormat="1" applyFont="1" applyFill="1" applyBorder="1" applyAlignment="1" applyProtection="1">
      <alignment horizontal="center"/>
    </xf>
    <xf numFmtId="0" fontId="12" fillId="0" borderId="30" xfId="0" applyNumberFormat="1" applyFont="1" applyBorder="1" applyAlignment="1" applyProtection="1">
      <alignment horizontal="center"/>
    </xf>
    <xf numFmtId="173" fontId="12" fillId="0" borderId="30" xfId="0" applyNumberFormat="1" applyFont="1" applyBorder="1" applyProtection="1"/>
    <xf numFmtId="173" fontId="12" fillId="0" borderId="30" xfId="86" applyNumberFormat="1" applyFont="1" applyFill="1" applyBorder="1" applyProtection="1"/>
    <xf numFmtId="173" fontId="12" fillId="0" borderId="20" xfId="86" applyNumberFormat="1" applyFont="1" applyFill="1" applyBorder="1" applyProtection="1"/>
    <xf numFmtId="174" fontId="12" fillId="0" borderId="30" xfId="0" applyNumberFormat="1" applyFont="1" applyBorder="1" applyProtection="1"/>
    <xf numFmtId="174" fontId="12" fillId="29" borderId="29" xfId="0" applyNumberFormat="1" applyFont="1" applyFill="1" applyBorder="1" applyProtection="1"/>
    <xf numFmtId="173" fontId="12" fillId="0" borderId="30" xfId="86" applyNumberFormat="1" applyFont="1" applyBorder="1" applyProtection="1"/>
    <xf numFmtId="173" fontId="12" fillId="0" borderId="20" xfId="86" applyNumberFormat="1" applyFont="1" applyBorder="1" applyProtection="1"/>
    <xf numFmtId="174" fontId="12" fillId="29" borderId="30" xfId="0" applyNumberFormat="1" applyFont="1" applyFill="1" applyBorder="1" applyProtection="1"/>
    <xf numFmtId="174" fontId="12" fillId="29" borderId="30" xfId="0" applyNumberFormat="1" applyFont="1" applyFill="1" applyBorder="1" applyAlignment="1" applyProtection="1">
      <alignment wrapText="1"/>
    </xf>
    <xf numFmtId="0" fontId="12" fillId="0" borderId="31" xfId="0" applyNumberFormat="1" applyFont="1" applyBorder="1" applyAlignment="1" applyProtection="1">
      <alignment horizontal="center"/>
    </xf>
    <xf numFmtId="173" fontId="12" fillId="0" borderId="6" xfId="0" applyNumberFormat="1" applyFont="1" applyBorder="1" applyProtection="1"/>
    <xf numFmtId="173" fontId="12" fillId="0" borderId="31" xfId="0" applyNumberFormat="1" applyFont="1" applyBorder="1" applyProtection="1"/>
    <xf numFmtId="173" fontId="12" fillId="0" borderId="31" xfId="86" applyNumberFormat="1" applyFont="1" applyBorder="1" applyProtection="1"/>
    <xf numFmtId="174" fontId="12" fillId="0" borderId="31" xfId="0" applyNumberFormat="1" applyFont="1" applyBorder="1" applyProtection="1"/>
    <xf numFmtId="174" fontId="12" fillId="29" borderId="31" xfId="0" applyNumberFormat="1" applyFont="1" applyFill="1" applyBorder="1" applyProtection="1"/>
    <xf numFmtId="174" fontId="12" fillId="0" borderId="0" xfId="0" applyNumberFormat="1" applyFont="1" applyBorder="1" applyProtection="1"/>
    <xf numFmtId="0" fontId="8" fillId="30" borderId="0" xfId="86" applyNumberFormat="1" applyFont="1" applyFill="1" applyAlignment="1" applyProtection="1">
      <protection locked="0"/>
    </xf>
    <xf numFmtId="0" fontId="19"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0" borderId="20" xfId="0" applyNumberFormat="1" applyFont="1" applyFill="1" applyBorder="1" applyAlignment="1" applyProtection="1">
      <alignment horizontal="right"/>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2" fillId="0" borderId="23" xfId="255" applyFont="1" applyBorder="1" applyAlignment="1" applyProtection="1"/>
    <xf numFmtId="172" fontId="12" fillId="0" borderId="17" xfId="255" applyFont="1" applyBorder="1" applyAlignment="1" applyProtection="1"/>
    <xf numFmtId="3" fontId="12" fillId="0" borderId="24" xfId="255" applyNumberFormat="1" applyFont="1" applyBorder="1" applyAlignment="1" applyProtection="1"/>
    <xf numFmtId="172" fontId="12" fillId="0" borderId="19" xfId="255" applyFont="1" applyBorder="1" applyAlignment="1" applyProtection="1"/>
    <xf numFmtId="3" fontId="12" fillId="0" borderId="20" xfId="255" applyNumberFormat="1" applyFont="1" applyBorder="1" applyAlignment="1" applyProtection="1"/>
    <xf numFmtId="0" fontId="12" fillId="0" borderId="0" xfId="255" quotePrefix="1" applyNumberFormat="1" applyFont="1" applyBorder="1" applyAlignment="1" applyProtection="1">
      <alignment horizontal="center"/>
    </xf>
    <xf numFmtId="0" fontId="12" fillId="0" borderId="20" xfId="0" applyFont="1" applyBorder="1" applyProtection="1"/>
    <xf numFmtId="10" fontId="32" fillId="0" borderId="0" xfId="0" applyNumberFormat="1" applyFont="1" applyFill="1" applyAlignment="1" applyProtection="1">
      <alignment horizontal="center"/>
    </xf>
    <xf numFmtId="0" fontId="12" fillId="0" borderId="19" xfId="0" applyFont="1" applyBorder="1" applyProtection="1"/>
    <xf numFmtId="174" fontId="12" fillId="0" borderId="20" xfId="0" applyNumberFormat="1" applyFont="1" applyBorder="1" applyProtection="1"/>
    <xf numFmtId="174" fontId="12" fillId="0" borderId="22" xfId="0" applyNumberFormat="1" applyFont="1" applyBorder="1" applyProtection="1"/>
    <xf numFmtId="173" fontId="12" fillId="0" borderId="24" xfId="0" applyNumberFormat="1" applyFont="1" applyBorder="1" applyProtection="1"/>
    <xf numFmtId="166" fontId="12" fillId="0" borderId="21" xfId="255" applyNumberFormat="1" applyFont="1" applyBorder="1" applyAlignment="1" applyProtection="1">
      <alignment horizontal="center"/>
    </xf>
    <xf numFmtId="0" fontId="12" fillId="0" borderId="6" xfId="255" applyNumberFormat="1" applyFont="1" applyBorder="1" applyAlignment="1" applyProtection="1">
      <alignment horizontal="center"/>
    </xf>
    <xf numFmtId="173" fontId="12" fillId="0" borderId="6" xfId="255" quotePrefix="1" applyNumberFormat="1" applyFont="1" applyBorder="1" applyAlignment="1" applyProtection="1">
      <alignment horizontal="center"/>
    </xf>
    <xf numFmtId="41" fontId="12" fillId="0" borderId="0" xfId="255" applyNumberFormat="1" applyFont="1" applyFill="1" applyBorder="1" applyAlignment="1" applyProtection="1">
      <alignment horizontal="right"/>
    </xf>
    <xf numFmtId="41" fontId="12" fillId="0" borderId="11" xfId="255" applyNumberFormat="1" applyFont="1" applyFill="1" applyBorder="1" applyAlignment="1" applyProtection="1"/>
    <xf numFmtId="10" fontId="12" fillId="0" borderId="0" xfId="267" applyNumberFormat="1" applyFont="1" applyFill="1" applyBorder="1" applyAlignment="1" applyProtection="1"/>
    <xf numFmtId="173" fontId="12" fillId="0" borderId="0" xfId="86" applyNumberFormat="1" applyFont="1" applyFill="1" applyBorder="1" applyProtection="1"/>
    <xf numFmtId="182" fontId="12" fillId="0" borderId="0" xfId="86" applyNumberFormat="1" applyFont="1" applyProtection="1"/>
    <xf numFmtId="0" fontId="9" fillId="0" borderId="23" xfId="0" applyFont="1" applyFill="1" applyBorder="1" applyAlignment="1" applyProtection="1">
      <alignment horizontal="center"/>
    </xf>
    <xf numFmtId="173" fontId="12" fillId="0" borderId="19" xfId="86" applyNumberFormat="1" applyFont="1" applyBorder="1" applyProtection="1"/>
    <xf numFmtId="173" fontId="9" fillId="0" borderId="0" xfId="86" applyNumberFormat="1" applyFont="1" applyBorder="1" applyProtection="1"/>
    <xf numFmtId="173" fontId="12" fillId="0" borderId="20" xfId="0" applyNumberFormat="1" applyFont="1" applyBorder="1" applyProtection="1"/>
    <xf numFmtId="173" fontId="9" fillId="0" borderId="11" xfId="86" applyNumberFormat="1" applyFont="1" applyBorder="1" applyProtection="1"/>
    <xf numFmtId="173" fontId="12" fillId="0" borderId="25" xfId="0" applyNumberFormat="1" applyFont="1" applyBorder="1" applyProtection="1"/>
    <xf numFmtId="173" fontId="9" fillId="0" borderId="6" xfId="86" applyNumberFormat="1" applyFont="1" applyFill="1" applyBorder="1" applyAlignment="1" applyProtection="1">
      <alignment horizontal="left"/>
    </xf>
    <xf numFmtId="173" fontId="9" fillId="0" borderId="22" xfId="86" applyNumberFormat="1" applyFont="1" applyFill="1" applyBorder="1" applyAlignment="1" applyProtection="1">
      <alignment horizontal="left"/>
    </xf>
    <xf numFmtId="173" fontId="12" fillId="0" borderId="29" xfId="0" applyNumberFormat="1" applyFont="1" applyBorder="1" applyProtection="1"/>
    <xf numFmtId="174" fontId="12" fillId="0" borderId="29" xfId="0" applyNumberFormat="1" applyFont="1" applyBorder="1" applyProtection="1"/>
    <xf numFmtId="0" fontId="0" fillId="0" borderId="0" xfId="0" applyFill="1" applyAlignment="1" applyProtection="1">
      <alignment wrapText="1"/>
    </xf>
    <xf numFmtId="0" fontId="90" fillId="0" borderId="0" xfId="248" applyFont="1" applyFill="1" applyProtection="1"/>
    <xf numFmtId="0" fontId="9" fillId="0" borderId="0" xfId="248" applyFont="1" applyFill="1" applyProtection="1"/>
    <xf numFmtId="3" fontId="9" fillId="0" borderId="0" xfId="255" applyNumberFormat="1" applyFont="1" applyFill="1" applyAlignment="1" applyProtection="1"/>
    <xf numFmtId="0" fontId="2" fillId="0" borderId="0" xfId="248" applyFont="1" applyFill="1" applyProtection="1"/>
    <xf numFmtId="0" fontId="2" fillId="0" borderId="0" xfId="248" applyFont="1" applyFill="1" applyAlignment="1" applyProtection="1">
      <alignment horizontal="left"/>
    </xf>
    <xf numFmtId="0" fontId="12" fillId="0" borderId="0" xfId="248" applyFont="1" applyFill="1" applyAlignment="1" applyProtection="1">
      <alignment horizontal="left"/>
    </xf>
    <xf numFmtId="0" fontId="9" fillId="0" borderId="0" xfId="248" applyFont="1" applyFill="1" applyAlignment="1" applyProtection="1">
      <alignment horizontal="left"/>
    </xf>
    <xf numFmtId="173" fontId="8" fillId="30" borderId="0" xfId="86" applyNumberFormat="1" applyFont="1" applyFill="1" applyBorder="1" applyProtection="1">
      <protection locked="0"/>
    </xf>
    <xf numFmtId="10" fontId="8" fillId="30" borderId="0" xfId="267" applyNumberFormat="1" applyFont="1" applyFill="1" applyAlignment="1" applyProtection="1">
      <alignment horizontal="right" wrapText="1"/>
      <protection locked="0"/>
    </xf>
    <xf numFmtId="44" fontId="8" fillId="30" borderId="0" xfId="115" applyFont="1" applyFill="1" applyAlignment="1" applyProtection="1">
      <alignment horizontal="right" wrapText="1"/>
      <protection locked="0"/>
    </xf>
    <xf numFmtId="173" fontId="20" fillId="30" borderId="0" xfId="86" applyNumberFormat="1" applyFont="1" applyFill="1" applyProtection="1">
      <protection locked="0"/>
    </xf>
    <xf numFmtId="191" fontId="20" fillId="30" borderId="0" xfId="0" applyNumberFormat="1" applyFont="1" applyFill="1" applyProtection="1">
      <protection locked="0"/>
    </xf>
    <xf numFmtId="0" fontId="0" fillId="30" borderId="0" xfId="0" applyFill="1" applyAlignment="1" applyProtection="1">
      <alignment horizontal="center"/>
      <protection locked="0"/>
    </xf>
    <xf numFmtId="0" fontId="20" fillId="30" borderId="0" xfId="0" applyFont="1" applyFill="1" applyProtection="1">
      <protection locked="0"/>
    </xf>
    <xf numFmtId="0" fontId="102" fillId="0" borderId="0" xfId="258" applyFont="1" applyAlignment="1" applyProtection="1"/>
    <xf numFmtId="0" fontId="3" fillId="0" borderId="0" xfId="258" applyProtection="1"/>
    <xf numFmtId="0" fontId="103" fillId="0" borderId="0" xfId="258" applyFont="1" applyProtection="1"/>
    <xf numFmtId="0" fontId="104" fillId="0" borderId="0" xfId="258" applyFont="1" applyAlignment="1" applyProtection="1">
      <alignment horizontal="center"/>
    </xf>
    <xf numFmtId="0" fontId="113" fillId="0" borderId="0" xfId="258" applyFont="1" applyAlignment="1" applyProtection="1">
      <alignment horizontal="center"/>
    </xf>
    <xf numFmtId="0" fontId="3" fillId="0" borderId="0" xfId="258" applyFont="1" applyAlignment="1" applyProtection="1">
      <alignment horizontal="center"/>
    </xf>
    <xf numFmtId="0" fontId="105" fillId="0" borderId="15" xfId="258" applyFont="1" applyBorder="1" applyProtection="1"/>
    <xf numFmtId="0" fontId="103" fillId="0" borderId="15" xfId="258" applyFont="1" applyBorder="1" applyProtection="1"/>
    <xf numFmtId="0" fontId="105" fillId="0" borderId="0" xfId="258" applyFont="1" applyBorder="1" applyProtection="1"/>
    <xf numFmtId="0" fontId="103" fillId="0" borderId="0" xfId="258" applyFont="1" applyBorder="1" applyProtection="1"/>
    <xf numFmtId="0" fontId="3" fillId="0" borderId="0" xfId="258" applyFill="1" applyProtection="1"/>
    <xf numFmtId="0" fontId="3" fillId="0" borderId="0" xfId="258" applyFont="1" applyFill="1" applyBorder="1" applyProtection="1"/>
    <xf numFmtId="192" fontId="3" fillId="0" borderId="0" xfId="258" applyNumberFormat="1" applyFill="1" applyProtection="1"/>
    <xf numFmtId="0" fontId="3" fillId="0" borderId="0" xfId="258" applyFont="1" applyFill="1" applyBorder="1" applyAlignment="1" applyProtection="1">
      <alignment wrapText="1"/>
    </xf>
    <xf numFmtId="0" fontId="0" fillId="0" borderId="0" xfId="0" applyFill="1" applyBorder="1" applyAlignment="1" applyProtection="1">
      <alignment wrapText="1"/>
    </xf>
    <xf numFmtId="0" fontId="106" fillId="0" borderId="32" xfId="258" applyFont="1" applyFill="1" applyBorder="1" applyProtection="1"/>
    <xf numFmtId="0" fontId="82" fillId="0" borderId="2" xfId="258" applyFont="1" applyFill="1" applyBorder="1" applyAlignment="1" applyProtection="1">
      <alignment horizontal="center"/>
    </xf>
    <xf numFmtId="0" fontId="82" fillId="0" borderId="33" xfId="258" applyFont="1" applyFill="1" applyBorder="1" applyAlignment="1" applyProtection="1">
      <alignment horizontal="center"/>
    </xf>
    <xf numFmtId="0" fontId="3" fillId="0" borderId="34" xfId="258" applyFont="1" applyFill="1" applyBorder="1" applyProtection="1"/>
    <xf numFmtId="3" fontId="3" fillId="0" borderId="0" xfId="258" applyNumberFormat="1" applyFont="1" applyFill="1" applyBorder="1" applyProtection="1"/>
    <xf numFmtId="3" fontId="3" fillId="0" borderId="35" xfId="258" applyNumberFormat="1" applyFill="1" applyBorder="1" applyProtection="1"/>
    <xf numFmtId="0" fontId="5" fillId="0" borderId="34" xfId="258" applyFont="1" applyFill="1" applyBorder="1" applyProtection="1"/>
    <xf numFmtId="0" fontId="3" fillId="0" borderId="36" xfId="258" applyFont="1" applyFill="1" applyBorder="1" applyProtection="1"/>
    <xf numFmtId="10" fontId="3" fillId="0" borderId="11" xfId="267" applyNumberFormat="1" applyFont="1" applyFill="1" applyBorder="1" applyAlignment="1" applyProtection="1">
      <alignment horizontal="center"/>
    </xf>
    <xf numFmtId="10" fontId="77" fillId="0" borderId="37" xfId="267" applyNumberFormat="1" applyFont="1" applyFill="1" applyBorder="1" applyAlignment="1" applyProtection="1">
      <alignment horizontal="center"/>
    </xf>
    <xf numFmtId="0" fontId="3" fillId="0" borderId="0" xfId="258" applyBorder="1" applyProtection="1"/>
    <xf numFmtId="0" fontId="3" fillId="0" borderId="0" xfId="258" applyFont="1" applyBorder="1" applyProtection="1"/>
    <xf numFmtId="0" fontId="12" fillId="0" borderId="0" xfId="262" applyFont="1" applyProtection="1"/>
    <xf numFmtId="0" fontId="9" fillId="0" borderId="0" xfId="262" applyFont="1" applyAlignment="1" applyProtection="1">
      <alignment horizontal="center" wrapText="1"/>
    </xf>
    <xf numFmtId="173" fontId="12" fillId="0" borderId="11" xfId="86" applyNumberFormat="1" applyFont="1" applyFill="1" applyBorder="1" applyAlignment="1" applyProtection="1"/>
    <xf numFmtId="173" fontId="12" fillId="0" borderId="0" xfId="86" applyNumberFormat="1" applyFont="1" applyFill="1" applyBorder="1" applyAlignment="1" applyProtection="1"/>
    <xf numFmtId="0" fontId="12" fillId="0" borderId="0" xfId="248" applyFont="1" applyFill="1" applyAlignment="1" applyProtection="1">
      <alignment horizontal="left" vertical="top" wrapText="1"/>
    </xf>
    <xf numFmtId="0" fontId="110" fillId="0" borderId="0" xfId="262" applyProtection="1"/>
    <xf numFmtId="0" fontId="9" fillId="0" borderId="0" xfId="262" applyFont="1" applyFill="1" applyProtection="1"/>
    <xf numFmtId="173" fontId="12" fillId="0" borderId="0" xfId="262" applyNumberFormat="1" applyFont="1" applyProtection="1"/>
    <xf numFmtId="0" fontId="12" fillId="0" borderId="0" xfId="262" applyFont="1" applyAlignment="1" applyProtection="1">
      <alignment vertical="top" wrapText="1"/>
    </xf>
    <xf numFmtId="10" fontId="12" fillId="0" borderId="0" xfId="262" applyNumberFormat="1" applyFont="1" applyProtection="1"/>
    <xf numFmtId="44" fontId="12" fillId="0" borderId="0" xfId="262" applyNumberFormat="1" applyFont="1" applyProtection="1"/>
    <xf numFmtId="0" fontId="114" fillId="0" borderId="0" xfId="262" applyFont="1" applyFill="1" applyProtection="1"/>
    <xf numFmtId="173" fontId="12" fillId="0" borderId="11" xfId="262" applyNumberFormat="1" applyFont="1" applyBorder="1" applyProtection="1"/>
    <xf numFmtId="10" fontId="12" fillId="0" borderId="0" xfId="267" applyNumberFormat="1" applyFont="1" applyProtection="1"/>
    <xf numFmtId="0" fontId="12" fillId="0" borderId="0" xfId="262" applyFont="1" applyFill="1" applyProtection="1"/>
    <xf numFmtId="10" fontId="12" fillId="0" borderId="0" xfId="267" applyNumberFormat="1" applyFont="1" applyFill="1" applyProtection="1"/>
    <xf numFmtId="10" fontId="12" fillId="32" borderId="0" xfId="267" applyNumberFormat="1" applyFont="1" applyFill="1" applyProtection="1"/>
    <xf numFmtId="10" fontId="12" fillId="0" borderId="11" xfId="267" applyNumberFormat="1" applyFont="1" applyBorder="1" applyProtection="1"/>
    <xf numFmtId="0" fontId="9" fillId="0" borderId="0" xfId="262" applyFont="1" applyProtection="1"/>
    <xf numFmtId="10" fontId="9" fillId="0" borderId="0" xfId="267" applyNumberFormat="1" applyFont="1" applyProtection="1"/>
    <xf numFmtId="173" fontId="12" fillId="0" borderId="11" xfId="86" applyNumberFormat="1" applyFont="1" applyFill="1" applyBorder="1" applyProtection="1"/>
    <xf numFmtId="0" fontId="115" fillId="0" borderId="0" xfId="262" applyFont="1" applyFill="1" applyProtection="1"/>
    <xf numFmtId="0" fontId="12" fillId="0" borderId="0" xfId="248" applyFont="1" applyFill="1" applyBorder="1" applyAlignment="1" applyProtection="1">
      <alignment horizontal="left"/>
    </xf>
    <xf numFmtId="0" fontId="94" fillId="0" borderId="0" xfId="262" applyFont="1" applyFill="1" applyProtection="1"/>
    <xf numFmtId="173" fontId="12" fillId="0" borderId="0" xfId="262" applyNumberFormat="1" applyFont="1" applyFill="1" applyProtection="1"/>
    <xf numFmtId="0" fontId="12" fillId="0" borderId="0" xfId="262" applyFont="1" applyFill="1" applyAlignment="1" applyProtection="1">
      <alignment vertical="top" wrapText="1"/>
    </xf>
    <xf numFmtId="43" fontId="12" fillId="0" borderId="0" xfId="262" applyNumberFormat="1" applyFont="1" applyProtection="1"/>
    <xf numFmtId="10" fontId="12" fillId="0" borderId="11" xfId="267" applyNumberFormat="1" applyFont="1" applyFill="1" applyBorder="1" applyProtection="1"/>
    <xf numFmtId="10" fontId="94" fillId="0" borderId="0" xfId="267" applyNumberFormat="1" applyFont="1" applyFill="1" applyProtection="1"/>
    <xf numFmtId="10" fontId="12" fillId="30" borderId="0" xfId="267" applyNumberFormat="1" applyFont="1" applyFill="1" applyAlignment="1" applyProtection="1">
      <alignment horizontal="right" wrapText="1"/>
      <protection locked="0"/>
    </xf>
    <xf numFmtId="164" fontId="8" fillId="30" borderId="0" xfId="267" applyNumberFormat="1" applyFont="1" applyFill="1" applyAlignment="1" applyProtection="1">
      <alignment horizontal="right" wrapText="1"/>
      <protection locked="0"/>
    </xf>
    <xf numFmtId="44" fontId="12" fillId="30" borderId="0" xfId="115" applyFont="1" applyFill="1" applyAlignment="1" applyProtection="1">
      <alignment horizontal="right" wrapText="1"/>
      <protection locked="0"/>
    </xf>
    <xf numFmtId="173" fontId="12" fillId="30" borderId="0" xfId="86" applyNumberFormat="1" applyFont="1" applyFill="1" applyProtection="1">
      <protection locked="0"/>
    </xf>
    <xf numFmtId="170" fontId="122" fillId="30" borderId="31" xfId="0" applyNumberFormat="1" applyFont="1" applyFill="1" applyBorder="1" applyAlignment="1" applyProtection="1">
      <alignment horizontal="center"/>
      <protection locked="0"/>
    </xf>
    <xf numFmtId="0" fontId="122" fillId="0" borderId="0" xfId="0" applyFont="1" applyFill="1" applyAlignment="1" applyProtection="1">
      <alignment horizontal="left"/>
    </xf>
    <xf numFmtId="0" fontId="122" fillId="0" borderId="0" xfId="0" applyFont="1" applyFill="1" applyProtection="1"/>
    <xf numFmtId="0" fontId="122" fillId="0" borderId="30" xfId="0" applyFont="1" applyFill="1" applyBorder="1" applyAlignment="1" applyProtection="1">
      <alignment horizontal="center" wrapText="1"/>
    </xf>
    <xf numFmtId="0" fontId="122" fillId="0" borderId="30" xfId="0" applyFont="1" applyFill="1" applyBorder="1" applyProtection="1"/>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5" fillId="0" borderId="0" xfId="0" applyNumberFormat="1" applyFont="1" applyFill="1" applyProtection="1"/>
    <xf numFmtId="5" fontId="122" fillId="0" borderId="31"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6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95" fontId="5" fillId="0" borderId="0" xfId="0" applyNumberFormat="1" applyFont="1" applyFill="1" applyProtection="1"/>
    <xf numFmtId="173" fontId="5" fillId="0" borderId="0" xfId="88" applyNumberFormat="1" applyFont="1" applyFill="1" applyProtection="1"/>
    <xf numFmtId="173" fontId="5" fillId="0" borderId="0" xfId="116" applyNumberFormat="1" applyFont="1" applyFill="1" applyProtection="1"/>
    <xf numFmtId="176" fontId="122" fillId="30" borderId="0" xfId="268" applyNumberFormat="1" applyFont="1" applyFill="1" applyProtection="1">
      <protection locked="0"/>
    </xf>
    <xf numFmtId="0" fontId="12" fillId="32" borderId="0" xfId="0" applyFont="1" applyFill="1" applyProtection="1"/>
    <xf numFmtId="173" fontId="2" fillId="30" borderId="6" xfId="255"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2" fillId="30" borderId="6" xfId="0" applyNumberFormat="1" applyFont="1" applyFill="1" applyBorder="1" applyProtection="1">
      <protection locked="0"/>
    </xf>
    <xf numFmtId="3" fontId="5" fillId="32" borderId="0" xfId="255" applyNumberFormat="1" applyFont="1" applyFill="1" applyBorder="1" applyAlignment="1" applyProtection="1"/>
    <xf numFmtId="41" fontId="12" fillId="32" borderId="0" xfId="255" applyNumberFormat="1" applyFont="1" applyFill="1" applyBorder="1" applyAlignment="1" applyProtection="1"/>
    <xf numFmtId="41" fontId="12" fillId="32" borderId="0" xfId="255" applyNumberFormat="1" applyFont="1" applyFill="1" applyBorder="1" applyAlignment="1" applyProtection="1">
      <alignment horizontal="center"/>
    </xf>
    <xf numFmtId="41" fontId="12" fillId="32" borderId="0" xfId="0" applyNumberFormat="1" applyFont="1" applyFill="1" applyBorder="1" applyProtection="1"/>
    <xf numFmtId="41" fontId="12" fillId="32" borderId="0" xfId="0" applyNumberFormat="1" applyFont="1" applyFill="1" applyProtection="1"/>
    <xf numFmtId="173" fontId="12" fillId="32" borderId="0" xfId="86" applyNumberFormat="1" applyFont="1" applyFill="1" applyProtection="1"/>
    <xf numFmtId="10" fontId="12" fillId="32" borderId="0" xfId="0" applyNumberFormat="1" applyFont="1" applyFill="1" applyProtection="1"/>
    <xf numFmtId="10" fontId="13" fillId="32" borderId="0" xfId="0" applyNumberFormat="1" applyFont="1" applyFill="1" applyProtection="1"/>
    <xf numFmtId="3" fontId="5" fillId="30" borderId="0" xfId="0" applyNumberFormat="1" applyFont="1" applyFill="1" applyAlignment="1" applyProtection="1">
      <alignment horizontal="center"/>
      <protection locked="0"/>
    </xf>
    <xf numFmtId="0" fontId="15" fillId="30" borderId="0" xfId="248" applyFont="1" applyFill="1" applyAlignment="1" applyProtection="1">
      <alignment horizontal="left"/>
      <protection locked="0"/>
    </xf>
    <xf numFmtId="0" fontId="15" fillId="30" borderId="0" xfId="248" applyFont="1" applyFill="1" applyProtection="1">
      <protection locked="0"/>
    </xf>
    <xf numFmtId="0" fontId="10" fillId="30" borderId="0" xfId="248" applyFont="1" applyFill="1" applyAlignment="1" applyProtection="1">
      <alignment horizontal="center"/>
      <protection locked="0"/>
    </xf>
    <xf numFmtId="3" fontId="63" fillId="30" borderId="0" xfId="0" applyNumberFormat="1" applyFont="1" applyFill="1" applyProtection="1">
      <protection locked="0"/>
    </xf>
    <xf numFmtId="3" fontId="63" fillId="30" borderId="0" xfId="0" quotePrefix="1" applyNumberFormat="1" applyFont="1" applyFill="1" applyProtection="1">
      <protection locked="0"/>
    </xf>
    <xf numFmtId="3" fontId="125" fillId="30" borderId="0" xfId="0" applyNumberFormat="1" applyFont="1" applyFill="1" applyProtection="1">
      <protection locked="0"/>
    </xf>
    <xf numFmtId="41" fontId="125" fillId="30" borderId="0" xfId="248" applyNumberFormat="1" applyFont="1" applyFill="1" applyProtection="1">
      <protection locked="0"/>
    </xf>
    <xf numFmtId="0" fontId="63" fillId="0" borderId="0" xfId="248" applyFont="1" applyAlignment="1">
      <alignment horizontal="center"/>
    </xf>
    <xf numFmtId="0" fontId="63" fillId="0" borderId="0" xfId="248" applyFont="1"/>
    <xf numFmtId="41" fontId="63" fillId="0" borderId="0" xfId="248" applyNumberFormat="1" applyFont="1"/>
    <xf numFmtId="41" fontId="125" fillId="30" borderId="11" xfId="248" applyNumberFormat="1" applyFont="1" applyFill="1" applyBorder="1" applyProtection="1">
      <protection locked="0"/>
    </xf>
    <xf numFmtId="0" fontId="63" fillId="0" borderId="0" xfId="248" applyFont="1" applyFill="1"/>
    <xf numFmtId="0" fontId="63" fillId="0" borderId="0" xfId="0" applyFont="1"/>
    <xf numFmtId="173" fontId="63" fillId="0" borderId="0" xfId="86" applyNumberFormat="1" applyFont="1" applyFill="1"/>
    <xf numFmtId="173" fontId="126" fillId="0" borderId="0" xfId="86" applyNumberFormat="1" applyFont="1" applyFill="1"/>
    <xf numFmtId="41" fontId="63" fillId="0" borderId="0" xfId="248" applyNumberFormat="1" applyFont="1" applyFill="1"/>
    <xf numFmtId="38" fontId="63" fillId="0" borderId="0" xfId="0" applyNumberFormat="1" applyFont="1" applyFill="1" applyBorder="1" applyAlignment="1"/>
    <xf numFmtId="0" fontId="63" fillId="0" borderId="0" xfId="207" applyFont="1" applyFill="1" applyBorder="1" applyAlignment="1">
      <alignment horizontal="center"/>
    </xf>
    <xf numFmtId="0" fontId="63" fillId="0" borderId="0" xfId="207" applyFont="1" applyFill="1" applyBorder="1"/>
    <xf numFmtId="0" fontId="63" fillId="0" borderId="0" xfId="248" applyFont="1" applyAlignment="1">
      <alignment horizontal="left"/>
    </xf>
    <xf numFmtId="3" fontId="63" fillId="0" borderId="0" xfId="207" applyNumberFormat="1" applyFont="1" applyFill="1" applyBorder="1" applyAlignment="1"/>
    <xf numFmtId="38" fontId="63" fillId="0" borderId="0" xfId="0" applyNumberFormat="1" applyFont="1" applyFill="1" applyBorder="1" applyAlignment="1">
      <alignment horizontal="center"/>
    </xf>
    <xf numFmtId="0" fontId="127" fillId="0" borderId="0" xfId="248" applyFont="1" applyAlignment="1">
      <alignment horizontal="center"/>
    </xf>
    <xf numFmtId="0" fontId="40" fillId="0" borderId="0" xfId="248" applyFont="1" applyFill="1" applyAlignment="1">
      <alignment horizontal="center"/>
    </xf>
    <xf numFmtId="9" fontId="40" fillId="0" borderId="0" xfId="248" applyNumberFormat="1" applyFont="1" applyFill="1" applyAlignment="1">
      <alignment horizontal="center"/>
    </xf>
    <xf numFmtId="0" fontId="40" fillId="0" borderId="0" xfId="248" applyFont="1" applyFill="1" applyBorder="1"/>
    <xf numFmtId="0" fontId="40" fillId="0" borderId="0" xfId="248" applyFont="1" applyAlignment="1">
      <alignment horizontal="center" wrapText="1"/>
    </xf>
    <xf numFmtId="0" fontId="127" fillId="0" borderId="0" xfId="248" applyFont="1" applyAlignment="1">
      <alignment horizontal="right"/>
    </xf>
    <xf numFmtId="0" fontId="63" fillId="0" borderId="0" xfId="0" applyFont="1" applyAlignment="1">
      <alignment horizontal="center" wrapText="1"/>
    </xf>
    <xf numFmtId="0" fontId="40" fillId="0" borderId="11" xfId="248" applyFont="1" applyBorder="1" applyAlignment="1">
      <alignment horizontal="center"/>
    </xf>
    <xf numFmtId="173" fontId="154" fillId="30" borderId="0" xfId="86" applyNumberFormat="1" applyFont="1" applyFill="1"/>
    <xf numFmtId="173" fontId="12" fillId="0" borderId="30" xfId="98" applyNumberFormat="1" applyFont="1" applyFill="1" applyBorder="1" applyProtection="1"/>
    <xf numFmtId="173" fontId="12" fillId="0" borderId="20" xfId="98" applyNumberFormat="1" applyFont="1" applyFill="1" applyBorder="1" applyProtection="1"/>
    <xf numFmtId="0" fontId="12" fillId="0" borderId="0" xfId="0" applyFont="1" applyAlignment="1" applyProtection="1">
      <alignment vertical="top" wrapText="1"/>
    </xf>
    <xf numFmtId="0" fontId="9" fillId="0" borderId="0" xfId="261" applyFont="1" applyFill="1" applyAlignment="1" applyProtection="1">
      <alignment horizontal="center"/>
    </xf>
    <xf numFmtId="43" fontId="12" fillId="0" borderId="0" xfId="113" applyFont="1" applyFill="1" applyProtection="1"/>
    <xf numFmtId="173" fontId="8" fillId="30" borderId="0" xfId="113" applyNumberFormat="1" applyFont="1" applyFill="1" applyProtection="1">
      <protection locked="0"/>
    </xf>
    <xf numFmtId="173" fontId="12" fillId="0" borderId="0" xfId="261" applyNumberFormat="1" applyFont="1" applyFill="1" applyProtection="1"/>
    <xf numFmtId="0" fontId="130" fillId="0" borderId="0" xfId="0" applyFont="1" applyAlignment="1">
      <alignment vertical="center"/>
    </xf>
    <xf numFmtId="0" fontId="71" fillId="0" borderId="11" xfId="256" applyFont="1" applyBorder="1" applyAlignment="1">
      <alignment horizontal="center"/>
    </xf>
    <xf numFmtId="173" fontId="78" fillId="30" borderId="11" xfId="256" applyNumberFormat="1" applyFont="1" applyFill="1" applyBorder="1" applyProtection="1">
      <protection locked="0"/>
    </xf>
    <xf numFmtId="173" fontId="78" fillId="0" borderId="11" xfId="256" applyNumberFormat="1" applyFont="1" applyFill="1" applyBorder="1"/>
    <xf numFmtId="0" fontId="71" fillId="0" borderId="11" xfId="256" applyFont="1" applyBorder="1"/>
    <xf numFmtId="0" fontId="12" fillId="0" borderId="11" xfId="256" applyFont="1" applyBorder="1"/>
    <xf numFmtId="0" fontId="18" fillId="0" borderId="11" xfId="256" applyFont="1" applyFill="1" applyBorder="1"/>
    <xf numFmtId="173" fontId="89" fillId="0" borderId="11" xfId="256" applyNumberFormat="1" applyFont="1" applyFill="1" applyBorder="1"/>
    <xf numFmtId="173" fontId="71" fillId="0" borderId="0" xfId="256" applyNumberFormat="1" applyFont="1" applyFill="1" applyBorder="1" applyProtection="1">
      <protection locked="0"/>
    </xf>
    <xf numFmtId="9" fontId="78" fillId="30" borderId="0" xfId="267" applyFont="1" applyFill="1" applyBorder="1" applyProtection="1">
      <protection locked="0"/>
    </xf>
    <xf numFmtId="173" fontId="78" fillId="30" borderId="0" xfId="256" applyNumberFormat="1" applyFont="1" applyFill="1" applyBorder="1" applyAlignment="1" applyProtection="1">
      <alignment horizontal="center"/>
      <protection locked="0"/>
    </xf>
    <xf numFmtId="0" fontId="12" fillId="0" borderId="0" xfId="162"/>
    <xf numFmtId="0" fontId="12" fillId="0" borderId="0" xfId="162" applyAlignment="1">
      <alignment horizontal="center"/>
    </xf>
    <xf numFmtId="0" fontId="12" fillId="0" borderId="0" xfId="162" applyFont="1" applyFill="1" applyAlignment="1">
      <alignment horizontal="center"/>
    </xf>
    <xf numFmtId="0" fontId="12" fillId="0" borderId="0" xfId="162" applyFont="1" applyAlignment="1">
      <alignment horizontal="center"/>
    </xf>
    <xf numFmtId="0" fontId="12" fillId="0" borderId="0" xfId="162" applyFont="1" applyAlignment="1"/>
    <xf numFmtId="0" fontId="12" fillId="0" borderId="0" xfId="162" applyFill="1" applyAlignment="1"/>
    <xf numFmtId="0" fontId="12" fillId="0" borderId="0" xfId="162" applyProtection="1"/>
    <xf numFmtId="41" fontId="8" fillId="30" borderId="0" xfId="249" applyNumberFormat="1" applyFont="1" applyFill="1" applyProtection="1">
      <protection locked="0"/>
    </xf>
    <xf numFmtId="0" fontId="12" fillId="0" borderId="0" xfId="162" applyFont="1" applyFill="1" applyAlignment="1"/>
    <xf numFmtId="0" fontId="12" fillId="0" borderId="0" xfId="162" applyFill="1" applyAlignment="1">
      <alignment horizontal="center"/>
    </xf>
    <xf numFmtId="0" fontId="9" fillId="0" borderId="0" xfId="162" applyFont="1" applyFill="1" applyAlignment="1">
      <alignment horizontal="left"/>
    </xf>
    <xf numFmtId="3" fontId="12" fillId="0" borderId="0" xfId="162" applyNumberFormat="1" applyFont="1" applyFill="1" applyAlignment="1"/>
    <xf numFmtId="3" fontId="12" fillId="0" borderId="0" xfId="162" applyNumberFormat="1" applyFill="1" applyAlignment="1"/>
    <xf numFmtId="0" fontId="13" fillId="0" borderId="0" xfId="162" applyFont="1" applyFill="1" applyAlignment="1">
      <alignment horizontal="center"/>
    </xf>
    <xf numFmtId="3" fontId="12" fillId="0" borderId="0" xfId="162" applyNumberFormat="1" applyFont="1" applyFill="1" applyAlignment="1">
      <alignment horizontal="centerContinuous"/>
    </xf>
    <xf numFmtId="3" fontId="13" fillId="0" borderId="0" xfId="162" applyNumberFormat="1" applyFont="1" applyFill="1" applyAlignment="1">
      <alignment horizontal="centerContinuous"/>
    </xf>
    <xf numFmtId="3" fontId="12" fillId="0" borderId="0" xfId="162" applyNumberFormat="1" applyFill="1" applyAlignment="1">
      <alignment horizontal="centerContinuous"/>
    </xf>
    <xf numFmtId="3" fontId="12" fillId="0" borderId="38" xfId="162" applyNumberFormat="1" applyFont="1" applyFill="1" applyBorder="1" applyAlignment="1"/>
    <xf numFmtId="3" fontId="12" fillId="0" borderId="0" xfId="162" applyNumberFormat="1" applyFont="1" applyFill="1" applyAlignment="1">
      <alignment horizontal="left"/>
    </xf>
    <xf numFmtId="37" fontId="12" fillId="0" borderId="0" xfId="162" applyNumberFormat="1" applyFont="1" applyFill="1" applyAlignment="1"/>
    <xf numFmtId="37" fontId="12" fillId="0" borderId="0" xfId="162" applyNumberFormat="1" applyFont="1" applyFill="1" applyAlignment="1">
      <alignment horizontal="center"/>
    </xf>
    <xf numFmtId="37" fontId="12" fillId="0" borderId="38" xfId="162" applyNumberFormat="1" applyFont="1" applyFill="1" applyBorder="1" applyAlignment="1"/>
    <xf numFmtId="37" fontId="12" fillId="0" borderId="39" xfId="162" applyNumberFormat="1" applyFont="1" applyFill="1" applyBorder="1" applyAlignment="1"/>
    <xf numFmtId="37" fontId="12" fillId="33" borderId="0" xfId="162" applyNumberFormat="1" applyFont="1" applyFill="1" applyAlignment="1"/>
    <xf numFmtId="37" fontId="12" fillId="0" borderId="0" xfId="162" applyNumberFormat="1" applyFill="1" applyAlignment="1"/>
    <xf numFmtId="37" fontId="12" fillId="0" borderId="40" xfId="162" applyNumberFormat="1" applyFont="1" applyFill="1" applyBorder="1" applyAlignment="1"/>
    <xf numFmtId="37" fontId="12" fillId="0" borderId="0" xfId="162" applyNumberFormat="1" applyFont="1" applyFill="1"/>
    <xf numFmtId="3" fontId="12" fillId="0" borderId="0" xfId="162" applyNumberFormat="1" applyFont="1" applyFill="1" applyAlignment="1" applyProtection="1">
      <alignment horizontal="center"/>
      <protection locked="0"/>
    </xf>
    <xf numFmtId="3" fontId="12" fillId="0" borderId="0" xfId="162" applyNumberFormat="1" applyFont="1" applyFill="1" applyAlignment="1">
      <alignment horizontal="center"/>
    </xf>
    <xf numFmtId="3" fontId="12" fillId="0" borderId="0" xfId="162" applyNumberFormat="1" applyFont="1" applyAlignment="1" applyProtection="1">
      <protection locked="0"/>
    </xf>
    <xf numFmtId="3" fontId="12" fillId="0" borderId="0" xfId="162" applyNumberFormat="1" applyFont="1" applyAlignment="1"/>
    <xf numFmtId="0" fontId="13" fillId="0" borderId="0" xfId="162" applyFont="1" applyAlignment="1">
      <alignment horizontal="center"/>
    </xf>
    <xf numFmtId="3" fontId="12" fillId="0" borderId="0" xfId="162" applyNumberFormat="1" applyFont="1" applyAlignment="1">
      <alignment horizontal="centerContinuous"/>
    </xf>
    <xf numFmtId="3" fontId="13" fillId="0" borderId="0" xfId="162" applyNumberFormat="1" applyFont="1" applyAlignment="1">
      <alignment horizontal="centerContinuous"/>
    </xf>
    <xf numFmtId="3" fontId="12" fillId="0" borderId="0" xfId="162" applyNumberFormat="1" applyAlignment="1">
      <alignment horizontal="centerContinuous"/>
    </xf>
    <xf numFmtId="3" fontId="12" fillId="0" borderId="38" xfId="162" applyNumberFormat="1" applyFont="1" applyBorder="1" applyAlignment="1"/>
    <xf numFmtId="0" fontId="12" fillId="0" borderId="0" xfId="162" applyFont="1" applyFill="1" applyAlignment="1">
      <alignment horizontal="left"/>
    </xf>
    <xf numFmtId="37" fontId="12" fillId="0" borderId="14" xfId="162" applyNumberFormat="1" applyFont="1" applyFill="1" applyBorder="1" applyAlignment="1"/>
    <xf numFmtId="37" fontId="12" fillId="0" borderId="0" xfId="162" applyNumberFormat="1"/>
    <xf numFmtId="37" fontId="155" fillId="0" borderId="39" xfId="162" applyNumberFormat="1" applyFont="1" applyFill="1" applyBorder="1" applyAlignment="1"/>
    <xf numFmtId="37" fontId="155" fillId="0" borderId="0" xfId="162" applyNumberFormat="1" applyFont="1" applyFill="1" applyAlignment="1"/>
    <xf numFmtId="4" fontId="12" fillId="0" borderId="0" xfId="162" applyNumberFormat="1" applyFont="1" applyFill="1" applyAlignment="1">
      <alignment horizontal="center"/>
    </xf>
    <xf numFmtId="196" fontId="8" fillId="30" borderId="0" xfId="249" applyNumberFormat="1" applyFont="1" applyFill="1" applyProtection="1">
      <protection locked="0"/>
    </xf>
    <xf numFmtId="0" fontId="152" fillId="0" borderId="0" xfId="162" applyFont="1" applyFill="1" applyAlignment="1">
      <alignment horizontal="left"/>
    </xf>
    <xf numFmtId="3" fontId="12" fillId="34" borderId="0" xfId="162" applyNumberFormat="1" applyFont="1" applyFill="1" applyAlignment="1"/>
    <xf numFmtId="0" fontId="12" fillId="34" borderId="0" xfId="162" applyFill="1"/>
    <xf numFmtId="3" fontId="12" fillId="34" borderId="0" xfId="162" applyNumberFormat="1" applyFont="1" applyFill="1" applyAlignment="1" applyProtection="1">
      <alignment horizontal="center"/>
      <protection locked="0"/>
    </xf>
    <xf numFmtId="0" fontId="12" fillId="34" borderId="0" xfId="162" applyFont="1" applyFill="1" applyAlignment="1">
      <alignment horizontal="center"/>
    </xf>
    <xf numFmtId="0" fontId="13" fillId="34" borderId="0" xfId="162" applyFont="1" applyFill="1" applyAlignment="1">
      <alignment horizontal="center"/>
    </xf>
    <xf numFmtId="41" fontId="8" fillId="30" borderId="0" xfId="250" applyNumberFormat="1" applyFont="1" applyFill="1"/>
    <xf numFmtId="3" fontId="9" fillId="0" borderId="0" xfId="162" applyNumberFormat="1" applyFont="1" applyFill="1" applyAlignment="1">
      <alignment horizontal="left"/>
    </xf>
    <xf numFmtId="196" fontId="8" fillId="30" borderId="0" xfId="250" applyNumberFormat="1" applyFont="1" applyFill="1" applyProtection="1">
      <protection locked="0"/>
    </xf>
    <xf numFmtId="173" fontId="78" fillId="30" borderId="0" xfId="256" applyNumberFormat="1" applyFont="1" applyFill="1" applyBorder="1" applyProtection="1">
      <protection locked="0"/>
    </xf>
    <xf numFmtId="173" fontId="12" fillId="0" borderId="0" xfId="256" applyNumberFormat="1" applyFont="1"/>
    <xf numFmtId="173" fontId="78" fillId="30" borderId="0" xfId="256" applyNumberFormat="1" applyFont="1" applyFill="1" applyBorder="1" applyProtection="1">
      <protection locked="0"/>
    </xf>
    <xf numFmtId="0" fontId="18" fillId="0" borderId="11" xfId="256" applyNumberFormat="1" applyFont="1" applyBorder="1" applyAlignment="1">
      <alignment horizontal="center"/>
    </xf>
    <xf numFmtId="0" fontId="18" fillId="0" borderId="11" xfId="256" applyNumberFormat="1" applyFont="1" applyBorder="1"/>
    <xf numFmtId="0" fontId="18" fillId="0" borderId="11" xfId="256" applyFont="1" applyBorder="1"/>
    <xf numFmtId="173" fontId="71" fillId="0" borderId="11" xfId="256" applyNumberFormat="1" applyFont="1" applyFill="1" applyBorder="1"/>
    <xf numFmtId="0" fontId="12" fillId="0" borderId="0" xfId="0" applyFont="1" applyFill="1" applyAlignment="1" applyProtection="1">
      <alignment vertical="top" wrapText="1"/>
    </xf>
    <xf numFmtId="0" fontId="12" fillId="0" borderId="0" xfId="0" applyNumberFormat="1" applyFont="1" applyAlignment="1">
      <alignment horizontal="center"/>
    </xf>
    <xf numFmtId="0" fontId="12" fillId="0" borderId="0" xfId="0" applyFont="1" applyAlignment="1"/>
    <xf numFmtId="0" fontId="12" fillId="0" borderId="0" xfId="0" applyFont="1" applyAlignment="1">
      <alignment horizontal="right"/>
    </xf>
    <xf numFmtId="0" fontId="9" fillId="0" borderId="0" xfId="259" applyFont="1" applyAlignment="1">
      <alignment horizontal="centerContinuous"/>
    </xf>
    <xf numFmtId="0" fontId="12" fillId="0" borderId="0" xfId="259" applyFont="1" applyFill="1" applyAlignment="1">
      <alignment horizontal="left"/>
    </xf>
    <xf numFmtId="0" fontId="9" fillId="0" borderId="0" xfId="259" applyFont="1" applyAlignment="1">
      <alignment horizontal="center"/>
    </xf>
    <xf numFmtId="0" fontId="9" fillId="0" borderId="0" xfId="259" applyFont="1" applyBorder="1" applyAlignment="1">
      <alignment wrapText="1"/>
    </xf>
    <xf numFmtId="0" fontId="12" fillId="0" borderId="32" xfId="0" applyNumberFormat="1" applyFont="1" applyBorder="1" applyAlignment="1">
      <alignment horizontal="center" wrapText="1"/>
    </xf>
    <xf numFmtId="0" fontId="9" fillId="0" borderId="33" xfId="259" applyFont="1" applyBorder="1" applyAlignment="1">
      <alignment horizontal="center" wrapText="1"/>
    </xf>
    <xf numFmtId="0" fontId="9" fillId="0" borderId="0" xfId="259" applyFont="1" applyBorder="1" applyAlignment="1">
      <alignment horizontal="center" wrapText="1"/>
    </xf>
    <xf numFmtId="0" fontId="12" fillId="0" borderId="0" xfId="0" applyFont="1" applyBorder="1" applyAlignment="1">
      <alignment wrapText="1"/>
    </xf>
    <xf numFmtId="0" fontId="12" fillId="0" borderId="0" xfId="0" applyFont="1" applyAlignment="1">
      <alignment wrapText="1"/>
    </xf>
    <xf numFmtId="0" fontId="12" fillId="0" borderId="34" xfId="0" applyNumberFormat="1" applyFont="1" applyBorder="1" applyAlignment="1">
      <alignment horizontal="center"/>
    </xf>
    <xf numFmtId="0" fontId="9" fillId="0" borderId="35" xfId="259" applyFont="1" applyBorder="1" applyAlignment="1">
      <alignment horizontal="center"/>
    </xf>
    <xf numFmtId="0" fontId="9" fillId="0" borderId="0" xfId="259" applyFont="1" applyBorder="1" applyAlignment="1">
      <alignment horizontal="center"/>
    </xf>
    <xf numFmtId="0" fontId="9" fillId="0" borderId="35" xfId="247" applyFont="1" applyFill="1" applyBorder="1" applyAlignment="1">
      <alignment horizontal="center" wrapText="1"/>
    </xf>
    <xf numFmtId="0" fontId="132" fillId="0" borderId="0" xfId="0" applyFont="1" applyAlignment="1"/>
    <xf numFmtId="3" fontId="24" fillId="0" borderId="11" xfId="207" applyNumberFormat="1" applyFont="1" applyFill="1" applyBorder="1" applyAlignment="1">
      <alignment horizontal="center" wrapText="1"/>
    </xf>
    <xf numFmtId="3" fontId="24" fillId="0" borderId="37" xfId="207" applyNumberFormat="1" applyFont="1" applyFill="1" applyBorder="1" applyAlignment="1">
      <alignment horizontal="center" wrapText="1"/>
    </xf>
    <xf numFmtId="0" fontId="12" fillId="0" borderId="35" xfId="259" quotePrefix="1" applyFont="1" applyBorder="1" applyAlignment="1">
      <alignment horizontal="left"/>
    </xf>
    <xf numFmtId="173" fontId="8" fillId="26" borderId="0" xfId="108" applyNumberFormat="1" applyFont="1" applyFill="1" applyAlignment="1" applyProtection="1">
      <protection locked="0"/>
    </xf>
    <xf numFmtId="0" fontId="12" fillId="0" borderId="35" xfId="259" applyFont="1" applyBorder="1"/>
    <xf numFmtId="0" fontId="12" fillId="0" borderId="36" xfId="0" applyNumberFormat="1" applyFont="1" applyBorder="1" applyAlignment="1">
      <alignment horizontal="center"/>
    </xf>
    <xf numFmtId="0" fontId="12" fillId="0" borderId="37" xfId="259" applyFont="1" applyBorder="1"/>
    <xf numFmtId="0" fontId="12" fillId="0" borderId="37" xfId="259" applyFont="1" applyBorder="1" applyAlignment="1">
      <alignment horizontal="right"/>
    </xf>
    <xf numFmtId="173" fontId="12" fillId="0" borderId="14" xfId="88" applyNumberFormat="1" applyFont="1" applyBorder="1"/>
    <xf numFmtId="173" fontId="12" fillId="0" borderId="41" xfId="88" applyNumberFormat="1" applyFont="1" applyBorder="1"/>
    <xf numFmtId="0" fontId="12" fillId="0" borderId="0" xfId="259" applyFont="1"/>
    <xf numFmtId="37" fontId="12" fillId="0" borderId="0" xfId="259" applyNumberFormat="1" applyFont="1"/>
    <xf numFmtId="172" fontId="12" fillId="0" borderId="0" xfId="252" applyFont="1" applyAlignment="1"/>
    <xf numFmtId="0" fontId="9" fillId="0" borderId="35" xfId="259" applyFont="1" applyBorder="1" applyAlignment="1">
      <alignment horizontal="center" wrapText="1"/>
    </xf>
    <xf numFmtId="0" fontId="12" fillId="0" borderId="16" xfId="0" applyNumberFormat="1" applyFont="1" applyBorder="1" applyAlignment="1">
      <alignment horizontal="center"/>
    </xf>
    <xf numFmtId="0" fontId="12" fillId="0" borderId="42" xfId="259" applyFont="1" applyBorder="1" applyAlignment="1">
      <alignment horizontal="right"/>
    </xf>
    <xf numFmtId="0" fontId="12" fillId="0" borderId="32" xfId="0" applyNumberFormat="1" applyFont="1" applyBorder="1" applyAlignment="1">
      <alignment horizontal="center"/>
    </xf>
    <xf numFmtId="0" fontId="9" fillId="0" borderId="2" xfId="259" applyFont="1" applyBorder="1" applyAlignment="1">
      <alignment horizontal="centerContinuous" wrapText="1"/>
    </xf>
    <xf numFmtId="0" fontId="12" fillId="0" borderId="32" xfId="0" applyFont="1" applyBorder="1" applyAlignment="1"/>
    <xf numFmtId="0" fontId="12" fillId="0" borderId="2" xfId="0" applyFont="1" applyBorder="1" applyAlignment="1"/>
    <xf numFmtId="0" fontId="12" fillId="0" borderId="34" xfId="0" applyNumberFormat="1" applyFont="1" applyBorder="1" applyAlignment="1">
      <alignment horizontal="center" wrapText="1"/>
    </xf>
    <xf numFmtId="0" fontId="9" fillId="0" borderId="34" xfId="259" applyFont="1" applyBorder="1" applyAlignment="1">
      <alignment horizontal="center" wrapText="1"/>
    </xf>
    <xf numFmtId="0" fontId="9" fillId="0" borderId="34" xfId="259" applyFont="1" applyBorder="1" applyAlignment="1">
      <alignment horizontal="center"/>
    </xf>
    <xf numFmtId="3" fontId="12" fillId="0" borderId="36" xfId="207" applyNumberFormat="1" applyFont="1" applyFill="1" applyBorder="1" applyAlignment="1">
      <alignment horizontal="center" wrapText="1"/>
    </xf>
    <xf numFmtId="3" fontId="12" fillId="0" borderId="11" xfId="207" applyNumberFormat="1" applyFont="1" applyFill="1" applyBorder="1" applyAlignment="1">
      <alignment horizontal="center" wrapText="1"/>
    </xf>
    <xf numFmtId="0" fontId="12" fillId="0" borderId="0" xfId="259" quotePrefix="1" applyFont="1" applyBorder="1" applyAlignment="1">
      <alignment horizontal="left"/>
    </xf>
    <xf numFmtId="173" fontId="8" fillId="26" borderId="34" xfId="108" applyNumberFormat="1" applyFont="1" applyFill="1" applyBorder="1" applyAlignment="1" applyProtection="1">
      <protection locked="0"/>
    </xf>
    <xf numFmtId="0" fontId="12" fillId="0" borderId="0" xfId="259" applyFont="1" applyBorder="1"/>
    <xf numFmtId="0" fontId="12" fillId="0" borderId="11" xfId="259" applyFont="1" applyBorder="1"/>
    <xf numFmtId="173" fontId="8" fillId="26" borderId="36" xfId="108" applyNumberFormat="1" applyFont="1" applyFill="1" applyBorder="1" applyAlignment="1" applyProtection="1">
      <protection locked="0"/>
    </xf>
    <xf numFmtId="0" fontId="12" fillId="0" borderId="14" xfId="0" applyNumberFormat="1" applyFont="1" applyBorder="1" applyAlignment="1">
      <alignment horizontal="center"/>
    </xf>
    <xf numFmtId="173" fontId="12" fillId="0" borderId="43" xfId="88" applyNumberFormat="1" applyFont="1" applyBorder="1"/>
    <xf numFmtId="173" fontId="12" fillId="0" borderId="0" xfId="0" applyNumberFormat="1" applyFont="1" applyAlignment="1"/>
    <xf numFmtId="0" fontId="132" fillId="0" borderId="0" xfId="0" applyNumberFormat="1" applyFont="1" applyAlignment="1">
      <alignment horizontal="center"/>
    </xf>
    <xf numFmtId="0" fontId="17" fillId="0" borderId="0" xfId="207" applyFont="1" applyFill="1" applyBorder="1" applyAlignment="1">
      <alignment horizontal="left" vertical="center"/>
    </xf>
    <xf numFmtId="0" fontId="12" fillId="0" borderId="0" xfId="207" applyNumberFormat="1" applyFont="1" applyFill="1" applyBorder="1" applyAlignment="1">
      <alignment horizontal="center"/>
    </xf>
    <xf numFmtId="0" fontId="17" fillId="0" borderId="0" xfId="207" applyFont="1" applyBorder="1" applyAlignment="1">
      <alignment horizontal="center" vertical="center"/>
    </xf>
    <xf numFmtId="0" fontId="17" fillId="0" borderId="0" xfId="248" applyFont="1" applyAlignment="1">
      <alignment horizontal="center" vertical="center" wrapText="1"/>
    </xf>
    <xf numFmtId="0" fontId="17" fillId="0" borderId="0" xfId="207" quotePrefix="1" applyFont="1" applyBorder="1" applyAlignment="1">
      <alignment horizontal="center" vertical="center" wrapText="1"/>
    </xf>
    <xf numFmtId="0" fontId="17" fillId="0" borderId="0" xfId="207" applyFont="1" applyFill="1" applyBorder="1" applyAlignment="1">
      <alignment horizontal="left"/>
    </xf>
    <xf numFmtId="0" fontId="12" fillId="0" borderId="0" xfId="207" applyFont="1" applyFill="1" applyBorder="1" applyAlignment="1">
      <alignment horizontal="center"/>
    </xf>
    <xf numFmtId="3" fontId="12" fillId="0" borderId="0" xfId="207" applyNumberFormat="1" applyFont="1" applyFill="1" applyBorder="1" applyAlignment="1"/>
    <xf numFmtId="173" fontId="0" fillId="0" borderId="0" xfId="108" applyNumberFormat="1" applyFont="1" applyFill="1"/>
    <xf numFmtId="0" fontId="9" fillId="0" borderId="0" xfId="207" applyFont="1" applyFill="1" applyBorder="1" applyAlignment="1">
      <alignment horizontal="left"/>
    </xf>
    <xf numFmtId="0" fontId="12" fillId="0" borderId="0" xfId="207" applyFont="1" applyFill="1" applyBorder="1"/>
    <xf numFmtId="3" fontId="12" fillId="0" borderId="0" xfId="207" applyNumberFormat="1" applyFont="1" applyFill="1" applyBorder="1" applyAlignment="1">
      <alignment horizontal="right"/>
    </xf>
    <xf numFmtId="3" fontId="12" fillId="32" borderId="0" xfId="207" applyNumberFormat="1" applyFont="1" applyFill="1" applyBorder="1" applyAlignment="1"/>
    <xf numFmtId="0" fontId="12" fillId="0" borderId="0" xfId="207" applyFont="1" applyBorder="1"/>
    <xf numFmtId="173" fontId="8"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2" fillId="0" borderId="0" xfId="207" applyNumberFormat="1" applyFont="1" applyFill="1" applyBorder="1"/>
    <xf numFmtId="0" fontId="81" fillId="0" borderId="0" xfId="207" applyNumberFormat="1" applyFont="1" applyFill="1" applyBorder="1" applyAlignment="1">
      <alignment horizontal="center"/>
    </xf>
    <xf numFmtId="0" fontId="12" fillId="0" borderId="0" xfId="248" applyFont="1" applyFill="1" applyAlignment="1">
      <alignment horizontal="left"/>
    </xf>
    <xf numFmtId="0" fontId="97" fillId="0" borderId="0" xfId="248" applyFont="1" applyFill="1" applyBorder="1"/>
    <xf numFmtId="0" fontId="17" fillId="0" borderId="0" xfId="248" applyFont="1" applyFill="1" applyAlignment="1">
      <alignment horizontal="center"/>
    </xf>
    <xf numFmtId="0" fontId="12" fillId="0" borderId="0" xfId="0" applyFont="1" applyFill="1" applyAlignment="1"/>
    <xf numFmtId="0" fontId="12" fillId="0" borderId="0" xfId="0" applyFont="1" applyFill="1" applyAlignment="1">
      <alignment horizontal="center"/>
    </xf>
    <xf numFmtId="173" fontId="63" fillId="0" borderId="0" xfId="108" applyNumberFormat="1" applyFont="1" applyFill="1" applyAlignment="1" applyProtection="1">
      <alignment horizontal="left"/>
      <protection locked="0"/>
    </xf>
    <xf numFmtId="0" fontId="12" fillId="0" borderId="0" xfId="0" applyFont="1" applyFill="1" applyBorder="1" applyAlignment="1">
      <alignment horizontal="center"/>
    </xf>
    <xf numFmtId="173" fontId="63"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2" fillId="0" borderId="0" xfId="0" applyFont="1" applyFill="1"/>
    <xf numFmtId="0" fontId="12" fillId="0" borderId="0" xfId="207" applyFont="1" applyFill="1" applyBorder="1" applyAlignment="1">
      <alignment horizontal="left"/>
    </xf>
    <xf numFmtId="43" fontId="5" fillId="0" borderId="6" xfId="255" applyNumberFormat="1" applyFont="1" applyFill="1" applyBorder="1" applyAlignment="1" applyProtection="1"/>
    <xf numFmtId="0" fontId="12" fillId="0" borderId="33" xfId="0" applyFont="1" applyBorder="1" applyAlignment="1"/>
    <xf numFmtId="3" fontId="12" fillId="0" borderId="37" xfId="207" applyNumberFormat="1" applyFont="1" applyFill="1" applyBorder="1" applyAlignment="1">
      <alignment horizontal="center" wrapText="1"/>
    </xf>
    <xf numFmtId="173" fontId="8" fillId="30" borderId="35" xfId="89" applyNumberFormat="1" applyFont="1" applyFill="1" applyBorder="1" applyAlignment="1">
      <alignment horizontal="right"/>
    </xf>
    <xf numFmtId="0" fontId="12" fillId="0" borderId="0" xfId="162" applyNumberFormat="1" applyFont="1" applyAlignment="1">
      <alignment horizontal="center"/>
    </xf>
    <xf numFmtId="0" fontId="15" fillId="0" borderId="0" xfId="162" applyFont="1" applyAlignment="1"/>
    <xf numFmtId="0" fontId="15" fillId="0" borderId="0" xfId="162" applyNumberFormat="1" applyFont="1" applyAlignment="1">
      <alignment horizontal="center"/>
    </xf>
    <xf numFmtId="0" fontId="15" fillId="0" borderId="0" xfId="162" applyFont="1" applyAlignment="1">
      <alignment horizontal="right"/>
    </xf>
    <xf numFmtId="0" fontId="91" fillId="0" borderId="0" xfId="259" applyFont="1" applyAlignment="1">
      <alignment horizontal="centerContinuous"/>
    </xf>
    <xf numFmtId="0" fontId="15" fillId="0" borderId="0" xfId="259" applyFont="1" applyFill="1" applyAlignment="1">
      <alignment horizontal="left"/>
    </xf>
    <xf numFmtId="0" fontId="91" fillId="0" borderId="0" xfId="259" applyFont="1" applyAlignment="1">
      <alignment horizontal="center"/>
    </xf>
    <xf numFmtId="0" fontId="12" fillId="0" borderId="0" xfId="162" applyFont="1"/>
    <xf numFmtId="0" fontId="12" fillId="0" borderId="32" xfId="162" applyNumberFormat="1" applyFont="1" applyBorder="1" applyAlignment="1">
      <alignment horizontal="center" wrapText="1"/>
    </xf>
    <xf numFmtId="0" fontId="9" fillId="0" borderId="44" xfId="259" applyFont="1" applyBorder="1" applyAlignment="1">
      <alignment horizontal="center" wrapText="1"/>
    </xf>
    <xf numFmtId="0" fontId="15" fillId="0" borderId="0" xfId="162" applyFont="1" applyAlignment="1">
      <alignment wrapText="1"/>
    </xf>
    <xf numFmtId="0" fontId="12" fillId="0" borderId="34" xfId="162" applyNumberFormat="1" applyFont="1" applyBorder="1" applyAlignment="1">
      <alignment horizontal="center"/>
    </xf>
    <xf numFmtId="0" fontId="9" fillId="0" borderId="10" xfId="259" applyFont="1" applyBorder="1" applyAlignment="1">
      <alignment horizontal="center"/>
    </xf>
    <xf numFmtId="0" fontId="134" fillId="0" borderId="0" xfId="162" applyFont="1" applyAlignment="1"/>
    <xf numFmtId="3" fontId="24" fillId="0" borderId="36" xfId="207" applyNumberFormat="1" applyFont="1" applyFill="1" applyBorder="1" applyAlignment="1">
      <alignment horizontal="center" wrapText="1"/>
    </xf>
    <xf numFmtId="3" fontId="24" fillId="0" borderId="45" xfId="207" applyNumberFormat="1" applyFont="1" applyFill="1" applyBorder="1" applyAlignment="1">
      <alignment wrapText="1"/>
    </xf>
    <xf numFmtId="173" fontId="8" fillId="26" borderId="0" xfId="107" applyNumberFormat="1" applyFont="1" applyFill="1" applyAlignment="1" applyProtection="1">
      <protection locked="0"/>
    </xf>
    <xf numFmtId="41" fontId="12" fillId="0" borderId="10" xfId="259" applyNumberFormat="1" applyFont="1" applyFill="1" applyBorder="1"/>
    <xf numFmtId="0" fontId="12" fillId="0" borderId="36" xfId="162" applyNumberFormat="1" applyFont="1" applyBorder="1" applyAlignment="1">
      <alignment horizontal="center"/>
    </xf>
    <xf numFmtId="173" fontId="12" fillId="0" borderId="46" xfId="88" applyNumberFormat="1" applyFont="1" applyBorder="1"/>
    <xf numFmtId="3" fontId="24" fillId="0" borderId="45" xfId="207" applyNumberFormat="1" applyFont="1" applyFill="1" applyBorder="1" applyAlignment="1">
      <alignment horizontal="center" wrapText="1"/>
    </xf>
    <xf numFmtId="173" fontId="8" fillId="30" borderId="0" xfId="88" applyNumberFormat="1" applyFont="1" applyFill="1" applyBorder="1" applyProtection="1">
      <protection locked="0"/>
    </xf>
    <xf numFmtId="0" fontId="12" fillId="0" borderId="16" xfId="162" applyNumberFormat="1" applyFont="1" applyBorder="1" applyAlignment="1">
      <alignment horizontal="center"/>
    </xf>
    <xf numFmtId="0" fontId="15" fillId="0" borderId="0" xfId="259" applyFont="1"/>
    <xf numFmtId="37" fontId="15" fillId="0" borderId="0" xfId="259" applyNumberFormat="1" applyFont="1"/>
    <xf numFmtId="172" fontId="15" fillId="0" borderId="0" xfId="252" applyFont="1" applyAlignment="1"/>
    <xf numFmtId="0" fontId="12" fillId="0" borderId="0" xfId="249" applyFont="1" applyFill="1" applyAlignment="1" applyProtection="1">
      <alignment vertical="top"/>
    </xf>
    <xf numFmtId="0" fontId="12" fillId="0" borderId="0" xfId="162" applyFont="1" applyAlignment="1" applyProtection="1">
      <alignment vertical="top" wrapText="1"/>
    </xf>
    <xf numFmtId="0" fontId="134" fillId="0" borderId="0" xfId="162" applyNumberFormat="1" applyFont="1" applyAlignment="1">
      <alignment horizontal="center"/>
    </xf>
    <xf numFmtId="0" fontId="90" fillId="0" borderId="0" xfId="250" applyFont="1" applyFill="1" applyProtection="1"/>
    <xf numFmtId="0" fontId="91" fillId="0" borderId="0" xfId="162" applyFont="1" applyAlignment="1">
      <alignment horizontal="center"/>
    </xf>
    <xf numFmtId="0" fontId="91" fillId="0" borderId="0" xfId="162" quotePrefix="1" applyFont="1" applyAlignment="1">
      <alignment horizontal="center"/>
    </xf>
    <xf numFmtId="0" fontId="9" fillId="0" borderId="0" xfId="250" applyFont="1" applyFill="1" applyAlignment="1" applyProtection="1">
      <alignment horizontal="left"/>
    </xf>
    <xf numFmtId="173" fontId="12" fillId="0" borderId="0" xfId="88" applyNumberFormat="1" applyFont="1" applyFill="1" applyProtection="1"/>
    <xf numFmtId="0" fontId="12" fillId="0" borderId="0" xfId="250" applyFont="1" applyFill="1" applyProtection="1"/>
    <xf numFmtId="0" fontId="12" fillId="0" borderId="0" xfId="181"/>
    <xf numFmtId="0" fontId="12" fillId="0" borderId="0" xfId="250" applyFont="1" applyFill="1" applyAlignment="1" applyProtection="1">
      <alignment horizontal="left"/>
    </xf>
    <xf numFmtId="173" fontId="8" fillId="30" borderId="0" xfId="88" applyNumberFormat="1" applyFont="1" applyFill="1" applyProtection="1">
      <protection locked="0"/>
    </xf>
    <xf numFmtId="0" fontId="12" fillId="0" borderId="0" xfId="181" applyProtection="1"/>
    <xf numFmtId="10" fontId="12" fillId="0" borderId="0" xfId="268" applyNumberFormat="1" applyFont="1" applyFill="1" applyBorder="1" applyProtection="1"/>
    <xf numFmtId="173" fontId="8" fillId="26" borderId="6" xfId="88" applyNumberFormat="1" applyFont="1" applyFill="1" applyBorder="1" applyAlignment="1" applyProtection="1">
      <protection locked="0"/>
    </xf>
    <xf numFmtId="10" fontId="9" fillId="0" borderId="0" xfId="268" applyNumberFormat="1" applyFont="1" applyFill="1" applyBorder="1" applyProtection="1"/>
    <xf numFmtId="0" fontId="9" fillId="0" borderId="0" xfId="250" applyFont="1" applyFill="1" applyProtection="1"/>
    <xf numFmtId="173" fontId="9" fillId="0" borderId="0" xfId="268" applyNumberFormat="1" applyFont="1" applyFill="1" applyBorder="1" applyProtection="1"/>
    <xf numFmtId="173" fontId="12" fillId="0" borderId="0" xfId="268" applyNumberFormat="1" applyFont="1" applyFill="1" applyBorder="1" applyProtection="1"/>
    <xf numFmtId="10" fontId="9" fillId="0" borderId="18" xfId="268" applyNumberFormat="1" applyFont="1" applyFill="1" applyBorder="1" applyProtection="1"/>
    <xf numFmtId="0" fontId="100" fillId="0" borderId="0" xfId="181" applyFont="1" applyAlignment="1" applyProtection="1">
      <alignment horizontal="center"/>
    </xf>
    <xf numFmtId="0" fontId="12" fillId="0" borderId="0" xfId="255" applyNumberFormat="1" applyFont="1" applyFill="1" applyBorder="1" applyAlignment="1" applyProtection="1">
      <alignment horizontal="center" vertical="center"/>
    </xf>
    <xf numFmtId="0" fontId="135" fillId="0" borderId="0" xfId="181" applyFont="1" applyProtection="1"/>
    <xf numFmtId="0" fontId="12" fillId="0" borderId="0" xfId="255" applyNumberFormat="1" applyFont="1" applyFill="1" applyBorder="1" applyAlignment="1" applyProtection="1">
      <alignment horizontal="center" vertical="top"/>
    </xf>
    <xf numFmtId="0" fontId="63" fillId="0" borderId="0" xfId="181" applyFont="1" applyAlignment="1" applyProtection="1">
      <alignment vertical="top" wrapText="1"/>
    </xf>
    <xf numFmtId="0" fontId="9" fillId="0" borderId="0" xfId="255" applyNumberFormat="1" applyFont="1" applyFill="1" applyBorder="1" applyAlignment="1" applyProtection="1">
      <alignment horizontal="center" vertical="center"/>
    </xf>
    <xf numFmtId="0" fontId="22" fillId="0" borderId="0" xfId="181" applyFont="1" applyAlignment="1" applyProtection="1"/>
    <xf numFmtId="41" fontId="9" fillId="0" borderId="0" xfId="250" applyNumberFormat="1" applyFont="1" applyFill="1" applyBorder="1" applyAlignment="1" applyProtection="1">
      <alignment horizontal="center" wrapText="1"/>
    </xf>
    <xf numFmtId="0" fontId="9" fillId="0" borderId="0" xfId="250" applyFont="1" applyFill="1" applyAlignment="1" applyProtection="1">
      <alignment horizontal="center" wrapText="1"/>
    </xf>
    <xf numFmtId="0" fontId="8" fillId="26" borderId="0" xfId="250" applyFont="1" applyFill="1" applyProtection="1">
      <protection locked="0"/>
    </xf>
    <xf numFmtId="173" fontId="136" fillId="26" borderId="0" xfId="88" applyNumberFormat="1" applyFont="1" applyFill="1" applyProtection="1">
      <protection locked="0"/>
    </xf>
    <xf numFmtId="197" fontId="12" fillId="0" borderId="0" xfId="257" applyNumberFormat="1" applyFont="1" applyFill="1" applyAlignment="1" applyProtection="1">
      <alignment horizontal="center"/>
      <protection locked="0"/>
    </xf>
    <xf numFmtId="37" fontId="8" fillId="26" borderId="0" xfId="250" applyNumberFormat="1" applyFont="1" applyFill="1" applyProtection="1">
      <protection locked="0"/>
    </xf>
    <xf numFmtId="0" fontId="136" fillId="26" borderId="0" xfId="250" applyFont="1" applyFill="1" applyProtection="1">
      <protection locked="0"/>
    </xf>
    <xf numFmtId="198" fontId="12" fillId="0" borderId="0" xfId="257" applyNumberFormat="1" applyFill="1" applyAlignment="1" applyProtection="1">
      <alignment horizontal="center"/>
      <protection locked="0"/>
    </xf>
    <xf numFmtId="14" fontId="12" fillId="0" borderId="0" xfId="257" applyNumberFormat="1" applyFill="1" applyAlignment="1" applyProtection="1">
      <alignment horizontal="center"/>
      <protection locked="0"/>
    </xf>
    <xf numFmtId="0" fontId="12" fillId="0" borderId="0" xfId="181" applyFont="1" applyProtection="1"/>
    <xf numFmtId="0" fontId="12" fillId="0" borderId="11" xfId="181" applyFont="1" applyBorder="1" applyProtection="1"/>
    <xf numFmtId="0" fontId="15" fillId="0" borderId="11" xfId="250" applyFont="1" applyFill="1" applyBorder="1" applyProtection="1"/>
    <xf numFmtId="0" fontId="12" fillId="0" borderId="0" xfId="181" applyFill="1"/>
    <xf numFmtId="0" fontId="9" fillId="0" borderId="2" xfId="250" applyFont="1" applyFill="1" applyBorder="1" applyAlignment="1" applyProtection="1">
      <alignment horizontal="left"/>
    </xf>
    <xf numFmtId="173" fontId="12" fillId="0" borderId="2" xfId="268" applyNumberFormat="1" applyFont="1" applyFill="1" applyBorder="1" applyProtection="1"/>
    <xf numFmtId="173" fontId="9" fillId="0" borderId="0" xfId="88" applyNumberFormat="1" applyFont="1" applyFill="1" applyBorder="1" applyProtection="1"/>
    <xf numFmtId="0" fontId="90" fillId="0" borderId="0" xfId="250" applyFont="1" applyFill="1" applyAlignment="1" applyProtection="1">
      <alignment horizontal="left"/>
    </xf>
    <xf numFmtId="0" fontId="12" fillId="0" borderId="0" xfId="255" applyNumberFormat="1" applyFont="1" applyFill="1" applyBorder="1" applyAlignment="1" applyProtection="1">
      <alignment horizontal="center" wrapText="1"/>
    </xf>
    <xf numFmtId="173" fontId="15" fillId="0" borderId="0" xfId="162" applyNumberFormat="1" applyFont="1" applyAlignment="1"/>
    <xf numFmtId="0" fontId="12" fillId="0" borderId="0" xfId="250" applyFont="1" applyFill="1" applyBorder="1" applyProtection="1"/>
    <xf numFmtId="0" fontId="15" fillId="0" borderId="2" xfId="162" applyNumberFormat="1" applyFont="1" applyBorder="1" applyAlignment="1"/>
    <xf numFmtId="0" fontId="32" fillId="0" borderId="0" xfId="0" applyFont="1" applyFill="1" applyAlignment="1" applyProtection="1">
      <alignment horizontal="center"/>
    </xf>
    <xf numFmtId="168" fontId="5" fillId="0" borderId="0" xfId="255" applyNumberFormat="1" applyFont="1" applyFill="1" applyAlignment="1" applyProtection="1"/>
    <xf numFmtId="188" fontId="5" fillId="0" borderId="0" xfId="255" applyNumberFormat="1" applyFont="1" applyFill="1" applyAlignment="1" applyProtection="1">
      <alignment horizontal="center"/>
    </xf>
    <xf numFmtId="41" fontId="5" fillId="0" borderId="11" xfId="255" applyNumberFormat="1" applyFont="1" applyFill="1" applyBorder="1" applyAlignment="1" applyProtection="1"/>
    <xf numFmtId="0" fontId="5" fillId="0" borderId="0" xfId="162" applyFont="1" applyFill="1" applyAlignment="1" applyProtection="1">
      <alignment horizontal="center"/>
    </xf>
    <xf numFmtId="0" fontId="63" fillId="0" borderId="0" xfId="162" applyFont="1" applyFill="1" applyProtection="1"/>
    <xf numFmtId="0" fontId="5" fillId="0" borderId="0" xfId="162" applyFont="1" applyFill="1" applyProtection="1"/>
    <xf numFmtId="0" fontId="12" fillId="0" borderId="0" xfId="162" applyFont="1" applyFill="1" applyProtection="1"/>
    <xf numFmtId="173" fontId="5" fillId="32" borderId="0" xfId="86" applyNumberFormat="1" applyFont="1" applyFill="1" applyAlignment="1" applyProtection="1">
      <alignment horizontal="right"/>
    </xf>
    <xf numFmtId="179" fontId="5" fillId="0" borderId="0" xfId="255" applyNumberFormat="1" applyFont="1" applyFill="1" applyAlignment="1" applyProtection="1">
      <alignment horizontal="center"/>
    </xf>
    <xf numFmtId="0" fontId="63" fillId="0" borderId="0" xfId="248" applyFont="1" applyFill="1" applyAlignment="1">
      <alignment horizontal="center"/>
    </xf>
    <xf numFmtId="37" fontId="12" fillId="0" borderId="0" xfId="162" applyNumberFormat="1" applyFont="1"/>
    <xf numFmtId="0" fontId="9" fillId="0" borderId="0" xfId="248" applyFont="1" applyFill="1" applyBorder="1"/>
    <xf numFmtId="0" fontId="12" fillId="0" borderId="0" xfId="162" applyFont="1" applyFill="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horizontal="center"/>
    </xf>
    <xf numFmtId="0" fontId="9" fillId="0" borderId="0" xfId="261" applyFont="1" applyFill="1" applyProtection="1"/>
    <xf numFmtId="0" fontId="12" fillId="0" borderId="0" xfId="261" applyFont="1" applyFill="1" applyProtection="1"/>
    <xf numFmtId="0" fontId="12" fillId="0" borderId="0" xfId="0" applyFont="1" applyFill="1" applyAlignment="1" applyProtection="1">
      <alignment vertical="top"/>
    </xf>
    <xf numFmtId="41" fontId="19" fillId="0" borderId="0" xfId="248" applyNumberFormat="1" applyFont="1" applyFill="1" applyBorder="1" applyProtection="1">
      <protection locked="0"/>
    </xf>
    <xf numFmtId="0" fontId="6" fillId="0" borderId="0" xfId="248" applyFont="1" applyFill="1" applyBorder="1"/>
    <xf numFmtId="0" fontId="18" fillId="0" borderId="0" xfId="256" applyNumberFormat="1" applyFont="1" applyFill="1" applyAlignment="1">
      <alignment horizontal="center"/>
    </xf>
    <xf numFmtId="0" fontId="18" fillId="0" borderId="0" xfId="256" applyNumberFormat="1" applyFont="1" applyFill="1"/>
    <xf numFmtId="0" fontId="73" fillId="0" borderId="0" xfId="256" applyFont="1" applyFill="1" applyAlignment="1">
      <alignment wrapText="1"/>
    </xf>
    <xf numFmtId="0" fontId="6" fillId="0" borderId="0" xfId="249" applyFont="1" applyFill="1" applyAlignment="1">
      <alignment horizontal="center"/>
    </xf>
    <xf numFmtId="0" fontId="6" fillId="0" borderId="0" xfId="249" applyFont="1" applyFill="1" applyBorder="1" applyAlignment="1">
      <alignment horizontal="center"/>
    </xf>
    <xf numFmtId="0" fontId="6" fillId="0" borderId="0" xfId="249" quotePrefix="1" applyFont="1" applyFill="1" applyBorder="1" applyAlignment="1">
      <alignment horizontal="center"/>
    </xf>
    <xf numFmtId="0" fontId="6" fillId="0" borderId="0" xfId="249" applyFont="1" applyFill="1" applyAlignment="1">
      <alignment horizontal="left" vertical="center" wrapText="1"/>
    </xf>
    <xf numFmtId="0" fontId="6" fillId="0" borderId="0" xfId="249" applyFont="1" applyFill="1" applyAlignment="1">
      <alignment horizontal="center" vertical="center" wrapText="1"/>
    </xf>
    <xf numFmtId="0" fontId="6" fillId="0" borderId="0" xfId="249" applyFont="1" applyFill="1" applyBorder="1" applyAlignment="1">
      <alignment horizontal="center" vertical="center" wrapText="1"/>
    </xf>
    <xf numFmtId="0" fontId="6" fillId="0" borderId="0" xfId="249" quotePrefix="1" applyFont="1" applyFill="1" applyBorder="1" applyAlignment="1">
      <alignment horizontal="center" vertical="center" wrapText="1"/>
    </xf>
    <xf numFmtId="0" fontId="12" fillId="0" borderId="0" xfId="256" applyNumberFormat="1" applyFont="1" applyFill="1" applyAlignment="1">
      <alignment horizontal="center"/>
    </xf>
    <xf numFmtId="185" fontId="12" fillId="0" borderId="0" xfId="256" applyNumberFormat="1" applyFont="1" applyFill="1"/>
    <xf numFmtId="0" fontId="12" fillId="0" borderId="0" xfId="251" applyFont="1" applyFill="1" applyAlignment="1" applyProtection="1">
      <alignment horizontal="left"/>
    </xf>
    <xf numFmtId="0" fontId="12" fillId="0" borderId="0" xfId="181" applyFont="1" applyFill="1" applyProtection="1"/>
    <xf numFmtId="0" fontId="5" fillId="32" borderId="0" xfId="255" applyNumberFormat="1" applyFont="1" applyFill="1" applyAlignment="1" applyProtection="1">
      <alignment vertical="top" wrapText="1"/>
    </xf>
    <xf numFmtId="0" fontId="138" fillId="0" borderId="0" xfId="0" applyFont="1" applyAlignment="1">
      <alignment vertical="center"/>
    </xf>
    <xf numFmtId="0" fontId="139" fillId="0" borderId="0" xfId="207" applyFont="1" applyProtection="1"/>
    <xf numFmtId="0" fontId="140" fillId="0" borderId="0" xfId="207" applyFont="1" applyBorder="1" applyAlignment="1" applyProtection="1">
      <alignment horizontal="center"/>
    </xf>
    <xf numFmtId="3" fontId="141" fillId="0" borderId="0" xfId="207" applyNumberFormat="1" applyFont="1" applyAlignment="1" applyProtection="1">
      <alignment horizontal="center"/>
    </xf>
    <xf numFmtId="0" fontId="139" fillId="0" borderId="0" xfId="0" applyFont="1" applyAlignment="1" applyProtection="1"/>
    <xf numFmtId="0" fontId="142" fillId="0" borderId="0" xfId="207" applyFont="1" applyProtection="1"/>
    <xf numFmtId="0" fontId="141" fillId="0" borderId="0" xfId="207" applyFont="1" applyAlignment="1" applyProtection="1">
      <alignment horizontal="center"/>
    </xf>
    <xf numFmtId="0" fontId="140" fillId="0" borderId="0" xfId="206" applyFont="1" applyFill="1" applyProtection="1"/>
    <xf numFmtId="0" fontId="141" fillId="0" borderId="0" xfId="207" applyFont="1" applyFill="1" applyBorder="1" applyAlignment="1" applyProtection="1">
      <alignment horizontal="center"/>
    </xf>
    <xf numFmtId="0" fontId="140" fillId="0" borderId="0" xfId="207" applyFont="1" applyProtection="1"/>
    <xf numFmtId="0" fontId="143" fillId="0" borderId="0" xfId="207" applyFont="1" applyBorder="1" applyAlignment="1" applyProtection="1">
      <alignment horizontal="left"/>
    </xf>
    <xf numFmtId="0" fontId="140" fillId="0" borderId="0" xfId="207" applyFont="1" applyBorder="1" applyAlignment="1" applyProtection="1"/>
    <xf numFmtId="0" fontId="140" fillId="0" borderId="0" xfId="207" applyFont="1" applyBorder="1" applyProtection="1"/>
    <xf numFmtId="0" fontId="143" fillId="0" borderId="0" xfId="207" applyFont="1" applyFill="1" applyBorder="1" applyProtection="1"/>
    <xf numFmtId="3" fontId="140" fillId="0" borderId="0" xfId="207" applyNumberFormat="1" applyFont="1" applyFill="1" applyBorder="1" applyAlignment="1" applyProtection="1"/>
    <xf numFmtId="1" fontId="144" fillId="0" borderId="0" xfId="207" applyNumberFormat="1" applyFont="1" applyFill="1" applyBorder="1" applyAlignment="1" applyProtection="1">
      <alignment horizontal="center"/>
    </xf>
    <xf numFmtId="172" fontId="140" fillId="0" borderId="0" xfId="254" applyFont="1" applyBorder="1" applyAlignment="1" applyProtection="1"/>
    <xf numFmtId="6" fontId="139" fillId="0" borderId="0" xfId="207" applyNumberFormat="1" applyFont="1" applyProtection="1"/>
    <xf numFmtId="0" fontId="145" fillId="0" borderId="0" xfId="207" applyFont="1" applyProtection="1"/>
    <xf numFmtId="0" fontId="140" fillId="0" borderId="0" xfId="0" applyFont="1" applyBorder="1" applyAlignment="1" applyProtection="1"/>
    <xf numFmtId="172" fontId="140" fillId="0" borderId="0" xfId="254" applyFont="1" applyFill="1" applyBorder="1" applyAlignment="1" applyProtection="1"/>
    <xf numFmtId="0" fontId="140" fillId="0" borderId="6" xfId="207" applyFont="1" applyBorder="1" applyAlignment="1" applyProtection="1">
      <alignment horizontal="center"/>
    </xf>
    <xf numFmtId="0" fontId="140" fillId="0" borderId="6" xfId="0" applyFont="1" applyBorder="1" applyAlignment="1" applyProtection="1"/>
    <xf numFmtId="172" fontId="140" fillId="0" borderId="6" xfId="254" applyFont="1" applyBorder="1" applyAlignment="1" applyProtection="1"/>
    <xf numFmtId="170" fontId="140" fillId="0" borderId="0" xfId="0" applyNumberFormat="1" applyFont="1" applyBorder="1" applyAlignment="1" applyProtection="1"/>
    <xf numFmtId="170" fontId="140" fillId="0" borderId="0" xfId="207" applyNumberFormat="1" applyFont="1" applyBorder="1" applyProtection="1"/>
    <xf numFmtId="0" fontId="139" fillId="0" borderId="0" xfId="207" applyFont="1" applyBorder="1" applyProtection="1"/>
    <xf numFmtId="0" fontId="5" fillId="0" borderId="0" xfId="255" applyNumberFormat="1" applyFont="1" applyFill="1" applyAlignment="1" applyProtection="1">
      <alignment horizontal="left" indent="2"/>
    </xf>
    <xf numFmtId="173" fontId="8" fillId="30" borderId="0" xfId="108" applyNumberFormat="1" applyFont="1" applyFill="1" applyAlignment="1" applyProtection="1">
      <protection locked="0"/>
    </xf>
    <xf numFmtId="173" fontId="8" fillId="30" borderId="34" xfId="108" applyNumberFormat="1" applyFont="1" applyFill="1" applyBorder="1" applyAlignment="1" applyProtection="1">
      <protection locked="0"/>
    </xf>
    <xf numFmtId="173" fontId="8" fillId="30" borderId="0" xfId="107" applyNumberFormat="1" applyFont="1" applyFill="1" applyAlignment="1" applyProtection="1">
      <protection locked="0"/>
    </xf>
    <xf numFmtId="43" fontId="12" fillId="30" borderId="0" xfId="86" applyFont="1" applyFill="1" applyBorder="1" applyProtection="1">
      <protection locked="0"/>
    </xf>
    <xf numFmtId="43" fontId="8" fillId="30" borderId="0" xfId="86" applyFont="1" applyFill="1" applyBorder="1" applyAlignment="1" applyProtection="1">
      <alignment horizontal="right"/>
      <protection locked="0"/>
    </xf>
    <xf numFmtId="43" fontId="8" fillId="30" borderId="11" xfId="86" applyFont="1" applyFill="1" applyBorder="1" applyAlignment="1" applyProtection="1">
      <alignment horizontal="right"/>
      <protection locked="0"/>
    </xf>
    <xf numFmtId="43" fontId="8" fillId="30" borderId="0" xfId="86" applyFont="1" applyFill="1" applyBorder="1" applyAlignment="1" applyProtection="1">
      <alignment horizontal="left"/>
      <protection locked="0"/>
    </xf>
    <xf numFmtId="43" fontId="8" fillId="30" borderId="0" xfId="86" applyFont="1" applyFill="1" applyBorder="1" applyAlignment="1" applyProtection="1">
      <alignment horizontal="center"/>
      <protection locked="0"/>
    </xf>
    <xf numFmtId="0" fontId="123" fillId="0" borderId="29" xfId="0" applyFont="1" applyFill="1" applyBorder="1" applyAlignment="1" applyProtection="1">
      <alignment horizontal="center" wrapText="1"/>
    </xf>
    <xf numFmtId="0" fontId="6" fillId="0" borderId="0" xfId="207" quotePrefix="1" applyFont="1" applyBorder="1" applyAlignment="1">
      <alignment horizontal="center" wrapText="1"/>
    </xf>
    <xf numFmtId="0" fontId="13" fillId="0" borderId="0" xfId="0" applyFont="1" applyAlignment="1">
      <alignment wrapText="1"/>
    </xf>
    <xf numFmtId="170" fontId="146" fillId="0" borderId="0" xfId="0" applyNumberFormat="1" applyFont="1" applyFill="1" applyAlignment="1" applyProtection="1">
      <alignment horizontal="right"/>
    </xf>
    <xf numFmtId="170" fontId="146" fillId="0" borderId="0" xfId="0" applyNumberFormat="1" applyFont="1" applyFill="1" applyAlignment="1" applyProtection="1">
      <alignment horizontal="center"/>
    </xf>
    <xf numFmtId="0" fontId="122" fillId="0" borderId="0" xfId="0" applyNumberFormat="1" applyFont="1" applyFill="1" applyAlignment="1" applyProtection="1">
      <alignment horizontal="center"/>
    </xf>
    <xf numFmtId="0" fontId="122" fillId="0" borderId="0" xfId="0" applyFont="1" applyFill="1" applyAlignment="1" applyProtection="1">
      <alignment wrapText="1"/>
    </xf>
    <xf numFmtId="10" fontId="5" fillId="0" borderId="18" xfId="255" applyNumberFormat="1" applyFont="1" applyFill="1" applyBorder="1" applyAlignment="1" applyProtection="1"/>
    <xf numFmtId="41" fontId="5" fillId="0" borderId="11" xfId="255" applyNumberFormat="1" applyFont="1" applyBorder="1" applyAlignment="1" applyProtection="1"/>
    <xf numFmtId="0" fontId="5" fillId="0" borderId="0" xfId="0" applyFont="1" applyFill="1" applyAlignment="1" applyProtection="1">
      <alignment horizontal="center"/>
    </xf>
    <xf numFmtId="10" fontId="5" fillId="0" borderId="0" xfId="268" applyNumberFormat="1" applyFont="1" applyFill="1" applyAlignment="1" applyProtection="1"/>
    <xf numFmtId="41" fontId="19" fillId="30" borderId="6" xfId="255" applyNumberFormat="1" applyFont="1" applyFill="1" applyBorder="1" applyAlignment="1" applyProtection="1">
      <alignment vertical="center"/>
      <protection locked="0"/>
    </xf>
    <xf numFmtId="0" fontId="12" fillId="0" borderId="34" xfId="162" applyFont="1" applyBorder="1"/>
    <xf numFmtId="193" fontId="63" fillId="30" borderId="0" xfId="162" applyNumberFormat="1" applyFont="1" applyFill="1" applyAlignment="1" applyProtection="1">
      <alignment horizontal="left"/>
      <protection locked="0"/>
    </xf>
    <xf numFmtId="3" fontId="125" fillId="30" borderId="0" xfId="162" applyNumberFormat="1" applyFont="1" applyFill="1" applyAlignment="1" applyProtection="1">
      <protection locked="0"/>
    </xf>
    <xf numFmtId="37" fontId="8" fillId="30" borderId="0" xfId="162" applyNumberFormat="1" applyFont="1" applyFill="1" applyProtection="1">
      <protection locked="0"/>
    </xf>
    <xf numFmtId="193" fontId="63" fillId="30" borderId="0" xfId="162" quotePrefix="1" applyNumberFormat="1" applyFont="1" applyFill="1" applyAlignment="1" applyProtection="1">
      <alignment horizontal="left"/>
      <protection locked="0"/>
    </xf>
    <xf numFmtId="3" fontId="63" fillId="30" borderId="0" xfId="162" applyNumberFormat="1" applyFont="1" applyFill="1" applyProtection="1">
      <protection locked="0"/>
    </xf>
    <xf numFmtId="3" fontId="125" fillId="30" borderId="0" xfId="162" applyNumberFormat="1" applyFont="1" applyFill="1" applyProtection="1">
      <protection locked="0"/>
    </xf>
    <xf numFmtId="3" fontId="63" fillId="30" borderId="0" xfId="162" quotePrefix="1" applyNumberFormat="1" applyFont="1" applyFill="1" applyProtection="1">
      <protection locked="0"/>
    </xf>
    <xf numFmtId="10" fontId="3" fillId="0" borderId="0" xfId="258" applyNumberFormat="1" applyFill="1" applyBorder="1" applyProtection="1"/>
    <xf numFmtId="0" fontId="24" fillId="0" borderId="0" xfId="210" applyFont="1"/>
    <xf numFmtId="0" fontId="24" fillId="0" borderId="0" xfId="210" applyFont="1" applyAlignment="1">
      <alignment horizontal="center"/>
    </xf>
    <xf numFmtId="0" fontId="12" fillId="0" borderId="0" xfId="210" applyFont="1" applyAlignment="1">
      <alignment horizontal="right"/>
    </xf>
    <xf numFmtId="14" fontId="24" fillId="0" borderId="0" xfId="210" applyNumberFormat="1" applyFont="1"/>
    <xf numFmtId="0" fontId="24" fillId="0" borderId="0" xfId="162" applyFont="1"/>
    <xf numFmtId="9" fontId="24" fillId="0" borderId="0" xfId="267" applyFont="1"/>
    <xf numFmtId="41" fontId="24" fillId="0" borderId="0" xfId="210" applyNumberFormat="1" applyFont="1"/>
    <xf numFmtId="10" fontId="24" fillId="0" borderId="0" xfId="269" applyNumberFormat="1" applyFont="1"/>
    <xf numFmtId="0" fontId="24" fillId="0" borderId="0" xfId="0" applyFont="1" applyAlignment="1"/>
    <xf numFmtId="0" fontId="24" fillId="0" borderId="11" xfId="210" applyFont="1" applyBorder="1"/>
    <xf numFmtId="0" fontId="25" fillId="0" borderId="11" xfId="210" applyFont="1" applyBorder="1" applyAlignment="1">
      <alignment horizontal="center"/>
    </xf>
    <xf numFmtId="0" fontId="25" fillId="0" borderId="11" xfId="210" applyFont="1" applyBorder="1" applyAlignment="1">
      <alignment horizontal="center" wrapText="1"/>
    </xf>
    <xf numFmtId="0" fontId="25" fillId="0" borderId="13" xfId="210" applyFont="1" applyBorder="1" applyAlignment="1">
      <alignment horizontal="center" wrapText="1"/>
    </xf>
    <xf numFmtId="0" fontId="25" fillId="0" borderId="11" xfId="210" applyFont="1" applyFill="1" applyBorder="1" applyAlignment="1">
      <alignment horizontal="center" wrapText="1"/>
    </xf>
    <xf numFmtId="0" fontId="25" fillId="0" borderId="0" xfId="210" applyFont="1" applyAlignment="1">
      <alignment horizontal="center"/>
    </xf>
    <xf numFmtId="0" fontId="25" fillId="0" borderId="0" xfId="210" applyFont="1" applyFill="1" applyBorder="1" applyAlignment="1">
      <alignment horizontal="center" wrapText="1"/>
    </xf>
    <xf numFmtId="0" fontId="25" fillId="0" borderId="0" xfId="210" applyFont="1" applyAlignment="1">
      <alignment horizontal="left"/>
    </xf>
    <xf numFmtId="0" fontId="24" fillId="35" borderId="0" xfId="210" applyFont="1" applyFill="1"/>
    <xf numFmtId="49" fontId="24" fillId="0" borderId="0" xfId="210" applyNumberFormat="1" applyFont="1" applyFill="1" applyAlignment="1">
      <alignment horizontal="center"/>
    </xf>
    <xf numFmtId="0" fontId="24" fillId="0" borderId="0" xfId="210" applyFont="1" applyBorder="1"/>
    <xf numFmtId="0" fontId="24" fillId="0" borderId="0" xfId="210" applyFont="1" applyFill="1" applyBorder="1" applyAlignment="1">
      <alignment horizontal="center"/>
    </xf>
    <xf numFmtId="41" fontId="24" fillId="30" borderId="12" xfId="249" applyNumberFormat="1" applyFont="1" applyFill="1" applyBorder="1" applyProtection="1">
      <protection locked="0"/>
    </xf>
    <xf numFmtId="173" fontId="24" fillId="36" borderId="12" xfId="111" applyNumberFormat="1" applyFont="1" applyFill="1" applyBorder="1"/>
    <xf numFmtId="173" fontId="24" fillId="0" borderId="47" xfId="111" applyNumberFormat="1" applyFont="1" applyFill="1" applyBorder="1"/>
    <xf numFmtId="173" fontId="24" fillId="0" borderId="12" xfId="111" applyNumberFormat="1" applyFont="1" applyFill="1" applyBorder="1"/>
    <xf numFmtId="41" fontId="24" fillId="30" borderId="0" xfId="249" applyNumberFormat="1" applyFont="1" applyFill="1" applyBorder="1" applyProtection="1">
      <protection locked="0"/>
    </xf>
    <xf numFmtId="41" fontId="24" fillId="0" borderId="0" xfId="210" applyNumberFormat="1" applyFont="1" applyBorder="1" applyAlignment="1">
      <alignment horizontal="center"/>
    </xf>
    <xf numFmtId="0" fontId="25" fillId="0" borderId="0" xfId="210" applyFont="1" applyBorder="1"/>
    <xf numFmtId="173" fontId="24" fillId="36" borderId="47" xfId="111" applyNumberFormat="1" applyFont="1" applyFill="1" applyBorder="1"/>
    <xf numFmtId="41" fontId="24" fillId="0" borderId="12" xfId="162" applyNumberFormat="1" applyFont="1" applyFill="1" applyBorder="1"/>
    <xf numFmtId="41" fontId="24" fillId="30" borderId="34" xfId="249" applyNumberFormat="1" applyFont="1" applyFill="1" applyBorder="1" applyAlignment="1" applyProtection="1">
      <alignment vertical="center" wrapText="1"/>
      <protection locked="0"/>
    </xf>
    <xf numFmtId="173" fontId="24" fillId="0" borderId="0" xfId="86" applyNumberFormat="1" applyFont="1" applyBorder="1" applyAlignment="1">
      <alignment horizontal="center"/>
    </xf>
    <xf numFmtId="49" fontId="24" fillId="0" borderId="0" xfId="210" applyNumberFormat="1" applyFont="1" applyAlignment="1">
      <alignment horizontal="center"/>
    </xf>
    <xf numFmtId="0" fontId="25" fillId="0" borderId="0" xfId="210" applyFont="1"/>
    <xf numFmtId="41" fontId="24" fillId="30" borderId="34" xfId="249" applyNumberFormat="1" applyFont="1" applyFill="1" applyBorder="1" applyAlignment="1" applyProtection="1">
      <alignment vertical="top"/>
      <protection locked="0"/>
    </xf>
    <xf numFmtId="0" fontId="0" fillId="0" borderId="0" xfId="0" applyFont="1"/>
    <xf numFmtId="0" fontId="24" fillId="0" borderId="0" xfId="162" applyFont="1" applyFill="1"/>
    <xf numFmtId="0" fontId="24" fillId="0" borderId="0" xfId="162" applyFont="1" applyFill="1" applyBorder="1"/>
    <xf numFmtId="0" fontId="24" fillId="0" borderId="0" xfId="210" applyFont="1" applyFill="1" applyAlignment="1">
      <alignment horizontal="center"/>
    </xf>
    <xf numFmtId="0" fontId="24" fillId="0" borderId="0" xfId="210" applyFont="1" applyAlignment="1">
      <alignment wrapText="1"/>
    </xf>
    <xf numFmtId="173" fontId="24" fillId="36" borderId="0" xfId="111" applyNumberFormat="1" applyFont="1" applyFill="1" applyBorder="1"/>
    <xf numFmtId="41" fontId="24" fillId="30" borderId="48" xfId="249" applyNumberFormat="1" applyFont="1" applyFill="1" applyBorder="1" applyProtection="1">
      <protection locked="0"/>
    </xf>
    <xf numFmtId="173" fontId="24" fillId="0" borderId="0" xfId="111" applyNumberFormat="1" applyFont="1" applyFill="1" applyBorder="1"/>
    <xf numFmtId="173" fontId="24" fillId="0" borderId="0" xfId="111" applyNumberFormat="1" applyFont="1" applyBorder="1" applyAlignment="1">
      <alignment wrapText="1"/>
    </xf>
    <xf numFmtId="0" fontId="24" fillId="0" borderId="0" xfId="210" applyFont="1" applyAlignment="1">
      <alignment horizontal="left"/>
    </xf>
    <xf numFmtId="1" fontId="24" fillId="0" borderId="14" xfId="86" applyNumberFormat="1" applyFont="1" applyBorder="1" applyAlignment="1"/>
    <xf numFmtId="173" fontId="24" fillId="0" borderId="14" xfId="86" applyNumberFormat="1" applyFont="1" applyBorder="1" applyAlignment="1"/>
    <xf numFmtId="177" fontId="24" fillId="0" borderId="14" xfId="86" applyNumberFormat="1" applyFont="1" applyBorder="1" applyAlignment="1"/>
    <xf numFmtId="173" fontId="24" fillId="0" borderId="0" xfId="111" applyNumberFormat="1" applyFont="1" applyAlignment="1">
      <alignment wrapText="1"/>
    </xf>
    <xf numFmtId="1" fontId="24" fillId="0" borderId="0" xfId="86" applyNumberFormat="1" applyFont="1" applyBorder="1" applyAlignment="1"/>
    <xf numFmtId="177" fontId="24" fillId="0" borderId="0" xfId="86" applyNumberFormat="1" applyFont="1" applyBorder="1" applyAlignment="1"/>
    <xf numFmtId="173" fontId="24" fillId="0" borderId="1" xfId="86" applyNumberFormat="1" applyFont="1" applyBorder="1" applyAlignment="1">
      <alignment horizontal="center"/>
    </xf>
    <xf numFmtId="173" fontId="24" fillId="0" borderId="0" xfId="86" applyNumberFormat="1" applyFont="1" applyBorder="1" applyAlignment="1"/>
    <xf numFmtId="0" fontId="24" fillId="0" borderId="0" xfId="210" applyFont="1" applyAlignment="1">
      <alignment horizontal="left" vertical="center"/>
    </xf>
    <xf numFmtId="0" fontId="24" fillId="0" borderId="0" xfId="210" applyFont="1" applyAlignment="1">
      <alignment vertical="top" wrapText="1"/>
    </xf>
    <xf numFmtId="0" fontId="24" fillId="0" borderId="0" xfId="210" applyFont="1" applyAlignment="1"/>
    <xf numFmtId="173" fontId="24" fillId="0" borderId="0" xfId="210" applyNumberFormat="1" applyFont="1"/>
    <xf numFmtId="0" fontId="24" fillId="0" borderId="0" xfId="210" applyFont="1" applyAlignment="1">
      <alignment vertical="top"/>
    </xf>
    <xf numFmtId="0" fontId="24" fillId="0" borderId="0" xfId="210" applyFont="1" applyFill="1" applyAlignment="1">
      <alignment vertical="top" wrapText="1"/>
    </xf>
    <xf numFmtId="0" fontId="24" fillId="0" borderId="0" xfId="210" applyFont="1" applyFill="1"/>
    <xf numFmtId="0" fontId="24" fillId="0" borderId="0" xfId="210" applyFont="1" applyFill="1" applyAlignment="1">
      <alignment horizontal="left"/>
    </xf>
    <xf numFmtId="0" fontId="25" fillId="0" borderId="0" xfId="210" applyFont="1" applyAlignment="1">
      <alignment horizontal="left" vertical="center"/>
    </xf>
    <xf numFmtId="173" fontId="24" fillId="0" borderId="0" xfId="210" applyNumberFormat="1" applyFont="1" applyAlignment="1">
      <alignment horizontal="left" vertical="center"/>
    </xf>
    <xf numFmtId="3" fontId="19" fillId="30" borderId="6" xfId="255" applyNumberFormat="1" applyFont="1" applyFill="1" applyBorder="1" applyAlignment="1" applyProtection="1">
      <protection locked="0"/>
    </xf>
    <xf numFmtId="0" fontId="25" fillId="0" borderId="0" xfId="210" applyFont="1" applyBorder="1" applyAlignment="1">
      <alignment horizontal="center" wrapText="1"/>
    </xf>
    <xf numFmtId="0" fontId="0" fillId="0" borderId="0" xfId="0" applyAlignment="1"/>
    <xf numFmtId="0" fontId="5" fillId="0" borderId="0" xfId="0" applyFont="1" applyFill="1" applyAlignment="1"/>
    <xf numFmtId="0" fontId="5" fillId="0" borderId="0" xfId="0" applyFont="1" applyAlignment="1"/>
    <xf numFmtId="41" fontId="19" fillId="30" borderId="0" xfId="255" applyNumberFormat="1" applyFont="1" applyFill="1" applyBorder="1" applyAlignment="1" applyProtection="1">
      <protection locked="0"/>
    </xf>
    <xf numFmtId="0" fontId="123" fillId="0" borderId="0" xfId="0" applyFont="1" applyAlignment="1">
      <alignment horizontal="left"/>
    </xf>
    <xf numFmtId="0" fontId="122" fillId="0" borderId="29" xfId="0" applyFont="1" applyBorder="1" applyAlignment="1">
      <alignment horizontal="center" wrapText="1"/>
    </xf>
    <xf numFmtId="0" fontId="122" fillId="0" borderId="0" xfId="0" applyFont="1"/>
    <xf numFmtId="170" fontId="144" fillId="30" borderId="0" xfId="254" applyNumberFormat="1" applyFont="1" applyFill="1" applyAlignment="1" applyProtection="1">
      <alignment horizontal="right"/>
      <protection locked="0"/>
    </xf>
    <xf numFmtId="170" fontId="140" fillId="0" borderId="0" xfId="254" applyNumberFormat="1" applyFont="1" applyAlignment="1" applyProtection="1">
      <alignment horizontal="right"/>
    </xf>
    <xf numFmtId="171" fontId="140" fillId="0" borderId="0" xfId="254" applyNumberFormat="1" applyFont="1" applyProtection="1"/>
    <xf numFmtId="171" fontId="140" fillId="33" borderId="0" xfId="254" applyNumberFormat="1" applyFont="1" applyFill="1" applyProtection="1">
      <protection locked="0"/>
    </xf>
    <xf numFmtId="3" fontId="144" fillId="30" borderId="0" xfId="110" applyNumberFormat="1" applyFont="1" applyFill="1" applyBorder="1" applyAlignment="1" applyProtection="1">
      <alignment horizontal="right"/>
      <protection locked="0"/>
    </xf>
    <xf numFmtId="170" fontId="140" fillId="0" borderId="0" xfId="254" applyNumberFormat="1" applyFont="1" applyProtection="1"/>
    <xf numFmtId="170" fontId="144" fillId="30" borderId="0" xfId="0" applyNumberFormat="1" applyFont="1" applyFill="1" applyAlignment="1" applyProtection="1">
      <alignment horizontal="right"/>
      <protection locked="0"/>
    </xf>
    <xf numFmtId="170" fontId="144" fillId="30" borderId="6" xfId="0" applyNumberFormat="1" applyFont="1" applyFill="1" applyBorder="1" applyAlignment="1" applyProtection="1">
      <alignment horizontal="right"/>
      <protection locked="0"/>
    </xf>
    <xf numFmtId="3" fontId="5" fillId="30" borderId="0" xfId="0" quotePrefix="1" applyNumberFormat="1" applyFont="1" applyFill="1" applyAlignment="1" applyProtection="1">
      <alignment horizontal="center"/>
      <protection locked="0"/>
    </xf>
    <xf numFmtId="3" fontId="19" fillId="30" borderId="0" xfId="0" applyNumberFormat="1" applyFont="1" applyFill="1" applyProtection="1">
      <protection locked="0"/>
    </xf>
    <xf numFmtId="41" fontId="27" fillId="0" borderId="0" xfId="248" applyNumberFormat="1" applyFont="1" applyFill="1" applyBorder="1" applyProtection="1">
      <protection locked="0"/>
    </xf>
    <xf numFmtId="173" fontId="8" fillId="26" borderId="33" xfId="107" applyNumberFormat="1" applyFont="1" applyFill="1" applyBorder="1" applyAlignment="1" applyProtection="1">
      <protection locked="0"/>
    </xf>
    <xf numFmtId="173" fontId="8" fillId="26" borderId="35" xfId="107" applyNumberFormat="1" applyFont="1" applyFill="1" applyBorder="1" applyAlignment="1" applyProtection="1">
      <protection locked="0"/>
    </xf>
    <xf numFmtId="49" fontId="2" fillId="0" borderId="0" xfId="332" applyNumberFormat="1"/>
    <xf numFmtId="0" fontId="2" fillId="0" borderId="0" xfId="332"/>
    <xf numFmtId="0" fontId="5" fillId="0" borderId="0" xfId="332" applyFont="1" applyAlignment="1">
      <alignment horizontal="right"/>
    </xf>
    <xf numFmtId="173" fontId="2" fillId="0" borderId="0" xfId="333" applyNumberFormat="1" applyFont="1"/>
    <xf numFmtId="0" fontId="24" fillId="0" borderId="0" xfId="334" applyFont="1" applyAlignment="1">
      <alignment horizontal="right"/>
    </xf>
    <xf numFmtId="0" fontId="2" fillId="0" borderId="0" xfId="334" applyFont="1" applyAlignment="1">
      <alignment horizontal="right"/>
    </xf>
    <xf numFmtId="0" fontId="2" fillId="0" borderId="0" xfId="335"/>
    <xf numFmtId="41" fontId="9" fillId="0" borderId="0" xfId="336" applyNumberFormat="1" applyFont="1" applyAlignment="1" applyProtection="1">
      <alignment horizontal="center"/>
      <protection locked="0"/>
    </xf>
    <xf numFmtId="2" fontId="2" fillId="0" borderId="0" xfId="332" applyNumberFormat="1" applyAlignment="1">
      <alignment horizontal="center"/>
    </xf>
    <xf numFmtId="0" fontId="2" fillId="0" borderId="0" xfId="332" applyAlignment="1">
      <alignment horizontal="center"/>
    </xf>
    <xf numFmtId="2" fontId="2" fillId="0" borderId="0" xfId="332" applyNumberFormat="1"/>
    <xf numFmtId="0" fontId="2" fillId="0" borderId="0" xfId="332" applyAlignment="1">
      <alignment wrapText="1"/>
    </xf>
    <xf numFmtId="0" fontId="2" fillId="0" borderId="0" xfId="332" applyAlignment="1">
      <alignment horizontal="center" wrapText="1"/>
    </xf>
    <xf numFmtId="1" fontId="2" fillId="0" borderId="0" xfId="332" applyNumberFormat="1" applyAlignment="1">
      <alignment horizontal="center"/>
    </xf>
    <xf numFmtId="49" fontId="2" fillId="0" borderId="0" xfId="333" applyNumberFormat="1" applyFont="1"/>
    <xf numFmtId="173" fontId="2" fillId="0" borderId="11" xfId="333" applyNumberFormat="1" applyFont="1" applyBorder="1"/>
    <xf numFmtId="173" fontId="2" fillId="0" borderId="0" xfId="333" applyNumberFormat="1" applyFont="1" applyFill="1"/>
    <xf numFmtId="10" fontId="2" fillId="0" borderId="0" xfId="337" applyNumberFormat="1" applyFont="1" applyFill="1" applyAlignment="1"/>
    <xf numFmtId="9" fontId="2" fillId="0" borderId="0" xfId="337" applyFont="1"/>
    <xf numFmtId="9" fontId="2" fillId="0" borderId="0" xfId="337" applyFont="1" applyFill="1"/>
    <xf numFmtId="43" fontId="2" fillId="0" borderId="0" xfId="333" applyFont="1" applyFill="1"/>
    <xf numFmtId="10" fontId="2" fillId="0" borderId="0" xfId="337" applyNumberFormat="1" applyFont="1" applyFill="1"/>
    <xf numFmtId="173" fontId="2" fillId="0" borderId="13" xfId="333" applyNumberFormat="1" applyFont="1" applyBorder="1"/>
    <xf numFmtId="173" fontId="2" fillId="0" borderId="0" xfId="333" applyNumberFormat="1" applyFont="1" applyBorder="1"/>
    <xf numFmtId="10" fontId="2" fillId="0" borderId="0" xfId="337" applyNumberFormat="1" applyFont="1"/>
    <xf numFmtId="0" fontId="15" fillId="0" borderId="0" xfId="332" applyFont="1"/>
    <xf numFmtId="0" fontId="15" fillId="0" borderId="0" xfId="332" applyFont="1" applyAlignment="1">
      <alignment vertical="top"/>
    </xf>
    <xf numFmtId="0" fontId="2" fillId="0" borderId="0" xfId="332" applyAlignment="1">
      <alignment vertical="center"/>
    </xf>
    <xf numFmtId="0" fontId="155" fillId="0" borderId="0" xfId="332" applyFont="1" applyAlignment="1">
      <alignment vertical="center"/>
    </xf>
    <xf numFmtId="0" fontId="155" fillId="0" borderId="0" xfId="332" applyFont="1" applyAlignment="1">
      <alignment vertical="center" wrapText="1"/>
    </xf>
    <xf numFmtId="173" fontId="8" fillId="26" borderId="32" xfId="107" applyNumberFormat="1" applyFont="1" applyFill="1" applyBorder="1" applyAlignment="1" applyProtection="1">
      <protection locked="0"/>
    </xf>
    <xf numFmtId="173" fontId="8" fillId="26" borderId="34" xfId="107" applyNumberFormat="1" applyFont="1" applyFill="1" applyBorder="1" applyAlignment="1" applyProtection="1">
      <protection locked="0"/>
    </xf>
    <xf numFmtId="173" fontId="8" fillId="26" borderId="36" xfId="107" applyNumberFormat="1" applyFont="1" applyFill="1" applyBorder="1" applyAlignment="1" applyProtection="1">
      <protection locked="0"/>
    </xf>
    <xf numFmtId="173" fontId="8" fillId="26" borderId="2" xfId="107" applyNumberFormat="1" applyFont="1" applyFill="1" applyBorder="1" applyAlignment="1" applyProtection="1">
      <protection locked="0"/>
    </xf>
    <xf numFmtId="173" fontId="8" fillId="26" borderId="0" xfId="107" applyNumberFormat="1" applyFont="1" applyFill="1" applyBorder="1" applyAlignment="1" applyProtection="1">
      <protection locked="0"/>
    </xf>
    <xf numFmtId="173" fontId="8" fillId="26" borderId="11" xfId="107" applyNumberFormat="1" applyFont="1" applyFill="1" applyBorder="1" applyAlignment="1" applyProtection="1">
      <protection locked="0"/>
    </xf>
    <xf numFmtId="173" fontId="8" fillId="26" borderId="2" xfId="108" applyNumberFormat="1" applyFont="1" applyFill="1" applyBorder="1" applyAlignment="1" applyProtection="1">
      <protection locked="0"/>
    </xf>
    <xf numFmtId="173" fontId="8" fillId="30" borderId="0" xfId="108" applyNumberFormat="1" applyFont="1" applyFill="1" applyBorder="1" applyAlignment="1" applyProtection="1">
      <protection locked="0"/>
    </xf>
    <xf numFmtId="173" fontId="8" fillId="26" borderId="11" xfId="108" applyNumberFormat="1" applyFont="1" applyFill="1" applyBorder="1" applyAlignment="1" applyProtection="1">
      <protection locked="0"/>
    </xf>
    <xf numFmtId="173" fontId="8" fillId="26" borderId="37" xfId="107" applyNumberFormat="1" applyFont="1" applyFill="1" applyBorder="1" applyAlignment="1" applyProtection="1">
      <protection locked="0"/>
    </xf>
    <xf numFmtId="0" fontId="0" fillId="0" borderId="34" xfId="0" applyBorder="1"/>
    <xf numFmtId="0" fontId="122" fillId="0" borderId="0" xfId="0" applyFont="1" applyAlignment="1">
      <alignment horizontal="center"/>
    </xf>
    <xf numFmtId="0" fontId="5" fillId="0" borderId="0" xfId="0" applyFont="1"/>
    <xf numFmtId="176" fontId="122" fillId="0" borderId="0" xfId="0" applyNumberFormat="1" applyFont="1"/>
    <xf numFmtId="3" fontId="108" fillId="31" borderId="0" xfId="255" applyNumberFormat="1" applyFont="1" applyFill="1" applyAlignment="1" applyProtection="1">
      <alignment horizontal="center"/>
    </xf>
    <xf numFmtId="3" fontId="10" fillId="0" borderId="0" xfId="255"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0" fontId="5" fillId="32" borderId="0" xfId="255" applyNumberFormat="1" applyFont="1" applyFill="1" applyAlignment="1" applyProtection="1">
      <alignment horizontal="left" vertical="top" wrapText="1"/>
    </xf>
    <xf numFmtId="172" fontId="77" fillId="0" borderId="0" xfId="255" applyFont="1" applyAlignment="1" applyProtection="1">
      <alignment horizontal="left" wrapText="1"/>
    </xf>
    <xf numFmtId="49" fontId="5" fillId="0" borderId="0" xfId="255" applyNumberFormat="1" applyFont="1" applyAlignment="1" applyProtection="1">
      <alignment horizontal="center"/>
    </xf>
    <xf numFmtId="0" fontId="32" fillId="0" borderId="0" xfId="0" applyFont="1" applyAlignment="1" applyProtection="1">
      <alignment horizontal="center"/>
    </xf>
    <xf numFmtId="0" fontId="10" fillId="0" borderId="0" xfId="255"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55"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255" applyFont="1" applyAlignment="1" applyProtection="1">
      <alignment horizontal="left" wrapText="1"/>
    </xf>
    <xf numFmtId="0" fontId="5" fillId="0" borderId="0" xfId="255" applyNumberFormat="1" applyFont="1" applyFill="1" applyAlignment="1" applyProtection="1">
      <alignment vertical="top" wrapText="1"/>
    </xf>
    <xf numFmtId="0" fontId="12" fillId="0" borderId="0" xfId="0" applyFont="1" applyFill="1" applyProtection="1"/>
    <xf numFmtId="0" fontId="26" fillId="0" borderId="0" xfId="255" applyNumberFormat="1" applyFont="1" applyFill="1" applyAlignment="1" applyProtection="1">
      <alignment horizontal="left" wrapText="1"/>
    </xf>
    <xf numFmtId="172" fontId="5" fillId="0" borderId="0" xfId="255" applyFont="1" applyFill="1" applyAlignment="1" applyProtection="1">
      <alignment horizontal="justify" wrapText="1"/>
    </xf>
    <xf numFmtId="0" fontId="12" fillId="0" borderId="0" xfId="0" applyFont="1" applyFill="1" applyAlignment="1" applyProtection="1">
      <alignment horizontal="justify" wrapText="1"/>
    </xf>
    <xf numFmtId="172" fontId="26" fillId="0" borderId="0" xfId="255" applyFont="1" applyFill="1" applyAlignment="1" applyProtection="1">
      <alignment vertical="top" wrapText="1"/>
    </xf>
    <xf numFmtId="0" fontId="26" fillId="0" borderId="0" xfId="0" applyFont="1" applyAlignment="1" applyProtection="1">
      <alignment vertical="top" wrapText="1"/>
    </xf>
    <xf numFmtId="172" fontId="26" fillId="0" borderId="0" xfId="255" applyFont="1" applyFill="1" applyAlignment="1" applyProtection="1">
      <alignment wrapText="1"/>
    </xf>
    <xf numFmtId="172" fontId="5" fillId="0" borderId="0" xfId="255" applyFont="1" applyFill="1" applyAlignment="1" applyProtection="1">
      <alignment vertical="top" wrapText="1"/>
    </xf>
    <xf numFmtId="172" fontId="107" fillId="0" borderId="0" xfId="255" applyFont="1" applyFill="1" applyAlignment="1" applyProtection="1">
      <alignment wrapText="1"/>
    </xf>
    <xf numFmtId="0" fontId="32" fillId="0" borderId="0" xfId="0" applyFont="1" applyAlignment="1" applyProtection="1">
      <alignment wrapText="1"/>
    </xf>
    <xf numFmtId="0" fontId="5" fillId="0" borderId="0" xfId="255" applyNumberFormat="1" applyFont="1" applyFill="1" applyAlignment="1" applyProtection="1">
      <alignment wrapText="1"/>
    </xf>
    <xf numFmtId="0" fontId="2" fillId="0" borderId="0" xfId="259" applyFont="1" applyAlignment="1">
      <alignment horizontal="left" wrapText="1"/>
    </xf>
    <xf numFmtId="0" fontId="5" fillId="0" borderId="0" xfId="0" applyFont="1" applyAlignment="1" applyProtection="1">
      <alignment horizontal="center"/>
    </xf>
    <xf numFmtId="0" fontId="5" fillId="0" borderId="0" xfId="207" applyFont="1" applyBorder="1" applyAlignment="1">
      <alignment horizontal="center"/>
    </xf>
    <xf numFmtId="0" fontId="9" fillId="0" borderId="47" xfId="259" applyFont="1" applyBorder="1" applyAlignment="1">
      <alignment horizontal="center" wrapText="1"/>
    </xf>
    <xf numFmtId="0" fontId="9" fillId="0" borderId="13" xfId="259" applyFont="1" applyBorder="1" applyAlignment="1">
      <alignment horizontal="center" wrapText="1"/>
    </xf>
    <xf numFmtId="0" fontId="9" fillId="0" borderId="48" xfId="259" applyFont="1" applyBorder="1" applyAlignment="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3" fontId="5" fillId="0" borderId="0" xfId="207" applyNumberFormat="1" applyFont="1" applyBorder="1" applyAlignment="1">
      <alignment horizontal="center"/>
    </xf>
    <xf numFmtId="0" fontId="5" fillId="0" borderId="0" xfId="0" applyFont="1" applyAlignment="1">
      <alignment horizontal="center"/>
    </xf>
    <xf numFmtId="0" fontId="40" fillId="0" borderId="0" xfId="248" applyFont="1" applyBorder="1" applyAlignment="1">
      <alignment horizontal="center" wrapText="1"/>
    </xf>
    <xf numFmtId="0" fontId="63" fillId="0" borderId="11" xfId="0" applyFont="1" applyBorder="1" applyAlignment="1">
      <alignment horizontal="center" wrapText="1"/>
    </xf>
    <xf numFmtId="3" fontId="5" fillId="0" borderId="0" xfId="0" applyNumberFormat="1" applyFont="1" applyAlignment="1">
      <alignment horizontal="center"/>
    </xf>
    <xf numFmtId="0" fontId="40" fillId="0" borderId="0" xfId="207" quotePrefix="1" applyFont="1" applyBorder="1" applyAlignment="1">
      <alignment horizontal="center" wrapText="1"/>
    </xf>
    <xf numFmtId="41" fontId="24" fillId="30" borderId="34" xfId="249" applyNumberFormat="1" applyFont="1" applyFill="1" applyBorder="1" applyAlignment="1" applyProtection="1">
      <alignment horizontal="left" vertical="center" wrapText="1"/>
      <protection locked="0"/>
    </xf>
    <xf numFmtId="0" fontId="24" fillId="0" borderId="0" xfId="210" applyFont="1" applyAlignment="1">
      <alignment horizontal="center" wrapText="1"/>
    </xf>
    <xf numFmtId="0" fontId="24" fillId="0" borderId="0" xfId="210" applyFont="1" applyAlignment="1">
      <alignment horizontal="left" vertical="top" wrapText="1"/>
    </xf>
    <xf numFmtId="0" fontId="24" fillId="0" borderId="0" xfId="210" applyFont="1" applyFill="1" applyAlignment="1">
      <alignment horizontal="left" vertical="top" wrapText="1"/>
    </xf>
    <xf numFmtId="0" fontId="24" fillId="0" borderId="11" xfId="210" applyFont="1" applyBorder="1" applyAlignment="1">
      <alignment horizontal="center"/>
    </xf>
    <xf numFmtId="0" fontId="24" fillId="0" borderId="11" xfId="0" applyFont="1" applyBorder="1" applyAlignment="1">
      <alignment horizontal="center"/>
    </xf>
    <xf numFmtId="0" fontId="24" fillId="0" borderId="11" xfId="210" applyFont="1" applyBorder="1" applyAlignment="1">
      <alignment horizontal="center" wrapText="1"/>
    </xf>
    <xf numFmtId="0" fontId="25" fillId="0" borderId="0" xfId="210" applyFont="1" applyBorder="1" applyAlignment="1">
      <alignment horizontal="center" wrapText="1"/>
    </xf>
    <xf numFmtId="2" fontId="2" fillId="0" borderId="0" xfId="332" applyNumberFormat="1" applyAlignment="1">
      <alignment horizontal="left"/>
    </xf>
    <xf numFmtId="41" fontId="9" fillId="0" borderId="0" xfId="336" applyNumberFormat="1" applyFont="1" applyAlignment="1" applyProtection="1">
      <alignment horizontal="center"/>
      <protection locked="0"/>
    </xf>
    <xf numFmtId="0" fontId="2" fillId="0" borderId="0" xfId="332" applyAlignment="1">
      <alignment vertical="center" wrapText="1"/>
    </xf>
    <xf numFmtId="0" fontId="2" fillId="0" borderId="0" xfId="332" applyAlignment="1">
      <alignment horizontal="left" vertical="top" wrapText="1"/>
    </xf>
    <xf numFmtId="0" fontId="2" fillId="0" borderId="0" xfId="332" applyAlignment="1">
      <alignment horizontal="left" wrapText="1"/>
    </xf>
    <xf numFmtId="0" fontId="12" fillId="0" borderId="0" xfId="207" applyNumberFormat="1" applyFont="1" applyFill="1" applyBorder="1" applyAlignment="1">
      <alignment horizontal="left" wrapText="1"/>
    </xf>
    <xf numFmtId="0" fontId="81" fillId="0" borderId="0" xfId="207" applyNumberFormat="1" applyFont="1" applyFill="1" applyBorder="1" applyAlignment="1" applyProtection="1">
      <alignment horizontal="center"/>
    </xf>
    <xf numFmtId="0" fontId="5" fillId="0" borderId="0" xfId="207" applyFont="1" applyBorder="1" applyAlignment="1" applyProtection="1">
      <alignment horizontal="center"/>
    </xf>
    <xf numFmtId="3" fontId="5" fillId="0" borderId="0" xfId="0" applyNumberFormat="1" applyFont="1" applyAlignment="1" applyProtection="1">
      <alignment horizontal="center"/>
    </xf>
    <xf numFmtId="0" fontId="81" fillId="0" borderId="0" xfId="248" applyFont="1" applyFill="1" applyAlignment="1" applyProtection="1">
      <alignment horizontal="center"/>
    </xf>
    <xf numFmtId="0" fontId="17" fillId="0" borderId="0" xfId="248" applyFont="1" applyBorder="1" applyAlignment="1" applyProtection="1">
      <alignment horizontal="center" wrapText="1"/>
    </xf>
    <xf numFmtId="0" fontId="13" fillId="0" borderId="0" xfId="0" applyFont="1" applyBorder="1" applyAlignment="1" applyProtection="1">
      <alignment horizontal="center" wrapText="1"/>
    </xf>
    <xf numFmtId="0" fontId="17" fillId="0" borderId="0" xfId="207" quotePrefix="1" applyFont="1" applyBorder="1" applyAlignment="1" applyProtection="1">
      <alignment horizontal="center" wrapText="1"/>
    </xf>
    <xf numFmtId="0" fontId="13" fillId="0" borderId="0" xfId="0" applyFont="1" applyAlignment="1" applyProtection="1">
      <alignment horizontal="center" wrapText="1"/>
    </xf>
    <xf numFmtId="0" fontId="81" fillId="0" borderId="0" xfId="0" applyFont="1" applyFill="1" applyAlignment="1" applyProtection="1">
      <alignment horizontal="center"/>
    </xf>
    <xf numFmtId="172" fontId="109" fillId="0" borderId="0" xfId="255" applyFont="1" applyFill="1" applyAlignment="1" applyProtection="1">
      <alignment wrapText="1"/>
    </xf>
    <xf numFmtId="0" fontId="120" fillId="0" borderId="0" xfId="0" applyFont="1" applyAlignment="1" applyProtection="1">
      <alignment wrapText="1"/>
    </xf>
    <xf numFmtId="172" fontId="12" fillId="0" borderId="0" xfId="255" applyFont="1" applyFill="1" applyAlignment="1" applyProtection="1">
      <alignment horizontal="left" vertical="top" wrapText="1"/>
    </xf>
    <xf numFmtId="0" fontId="94" fillId="0" borderId="0" xfId="260" applyFont="1" applyFill="1" applyAlignment="1" applyProtection="1">
      <alignment wrapText="1"/>
    </xf>
    <xf numFmtId="3" fontId="4" fillId="0" borderId="0" xfId="0" applyNumberFormat="1" applyFont="1" applyAlignment="1" applyProtection="1">
      <alignment horizontal="center"/>
    </xf>
    <xf numFmtId="0" fontId="10" fillId="0" borderId="0" xfId="260" applyFont="1" applyFill="1" applyAlignment="1" applyProtection="1">
      <alignment horizontal="center"/>
    </xf>
    <xf numFmtId="3" fontId="4" fillId="0" borderId="0" xfId="0" applyNumberFormat="1" applyFont="1" applyAlignment="1">
      <alignment horizontal="center"/>
    </xf>
    <xf numFmtId="0" fontId="74" fillId="0" borderId="11" xfId="256" applyFont="1" applyBorder="1" applyAlignment="1" applyProtection="1">
      <alignment horizontal="center"/>
    </xf>
    <xf numFmtId="3" fontId="5" fillId="0" borderId="0" xfId="207" applyNumberFormat="1" applyFont="1" applyBorder="1" applyAlignment="1" applyProtection="1">
      <alignment horizontal="center"/>
    </xf>
    <xf numFmtId="0" fontId="71" fillId="0" borderId="0" xfId="256" applyFont="1" applyFill="1" applyAlignment="1">
      <alignment horizontal="left" wrapText="1"/>
    </xf>
    <xf numFmtId="0" fontId="0" fillId="0" borderId="0" xfId="0" applyAlignment="1"/>
    <xf numFmtId="0" fontId="71" fillId="0" borderId="0" xfId="256" applyFont="1" applyFill="1" applyAlignment="1">
      <alignment wrapText="1"/>
    </xf>
    <xf numFmtId="49" fontId="5" fillId="0" borderId="0" xfId="86" applyNumberFormat="1" applyFont="1" applyAlignment="1">
      <alignment horizontal="center"/>
    </xf>
    <xf numFmtId="0" fontId="0" fillId="0" borderId="0" xfId="0" applyAlignment="1">
      <alignment horizontal="center"/>
    </xf>
    <xf numFmtId="0" fontId="4" fillId="0" borderId="0" xfId="207" applyFont="1" applyBorder="1" applyAlignment="1">
      <alignment horizontal="center"/>
    </xf>
    <xf numFmtId="0" fontId="4" fillId="0" borderId="0" xfId="0" applyFont="1" applyAlignment="1">
      <alignment horizontal="center"/>
    </xf>
    <xf numFmtId="0" fontId="156"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5" fillId="0" borderId="0" xfId="86" applyNumberFormat="1" applyFont="1" applyBorder="1" applyAlignment="1" applyProtection="1">
      <alignment horizontal="center"/>
    </xf>
    <xf numFmtId="0" fontId="4"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2" fillId="0" borderId="23" xfId="255" applyFont="1" applyBorder="1" applyAlignment="1" applyProtection="1">
      <alignment wrapText="1"/>
    </xf>
    <xf numFmtId="0" fontId="2" fillId="0" borderId="17" xfId="0" applyFont="1" applyBorder="1" applyAlignment="1" applyProtection="1">
      <alignment wrapText="1"/>
    </xf>
    <xf numFmtId="0" fontId="2" fillId="0" borderId="24" xfId="0" applyFont="1" applyBorder="1" applyAlignment="1" applyProtection="1">
      <alignment wrapText="1"/>
    </xf>
    <xf numFmtId="0" fontId="2" fillId="0" borderId="19" xfId="0" applyFont="1" applyBorder="1" applyAlignment="1" applyProtection="1">
      <alignment wrapText="1"/>
    </xf>
    <xf numFmtId="0" fontId="2" fillId="0" borderId="0" xfId="0" applyFont="1" applyBorder="1" applyAlignment="1" applyProtection="1">
      <alignment wrapText="1"/>
    </xf>
    <xf numFmtId="0" fontId="2" fillId="0" borderId="20" xfId="0" applyFont="1" applyBorder="1" applyAlignment="1" applyProtection="1">
      <alignment wrapText="1"/>
    </xf>
    <xf numFmtId="0" fontId="12" fillId="32" borderId="0" xfId="0" applyFont="1" applyFill="1" applyBorder="1" applyAlignment="1" applyProtection="1">
      <alignment wrapText="1"/>
    </xf>
    <xf numFmtId="0" fontId="0" fillId="32" borderId="0" xfId="0" applyFill="1" applyAlignment="1" applyProtection="1">
      <alignment wrapText="1"/>
    </xf>
    <xf numFmtId="0" fontId="12" fillId="0" borderId="0" xfId="0" applyFont="1" applyFill="1" applyBorder="1" applyAlignment="1" applyProtection="1">
      <alignment wrapText="1"/>
    </xf>
    <xf numFmtId="0" fontId="12" fillId="0" borderId="0" xfId="250" applyFont="1" applyFill="1" applyAlignment="1" applyProtection="1">
      <alignment horizontal="left" wrapText="1"/>
    </xf>
    <xf numFmtId="0" fontId="12" fillId="0" borderId="0" xfId="181" applyFont="1" applyFill="1" applyAlignment="1" applyProtection="1">
      <alignment wrapText="1"/>
    </xf>
    <xf numFmtId="0" fontId="112" fillId="0" borderId="0" xfId="250" applyFont="1" applyFill="1" applyAlignment="1" applyProtection="1">
      <alignment horizontal="left" wrapText="1"/>
    </xf>
    <xf numFmtId="0" fontId="63" fillId="0" borderId="0" xfId="162" applyFont="1" applyAlignment="1" applyProtection="1">
      <alignment horizontal="left" vertical="top" wrapText="1"/>
    </xf>
    <xf numFmtId="41" fontId="9" fillId="0" borderId="0" xfId="250" applyNumberFormat="1" applyFont="1" applyFill="1" applyBorder="1" applyAlignment="1" applyProtection="1">
      <alignment horizontal="center" wrapText="1"/>
    </xf>
    <xf numFmtId="0" fontId="5" fillId="0" borderId="0" xfId="162" applyFont="1" applyAlignment="1" applyProtection="1">
      <alignment horizontal="center"/>
    </xf>
    <xf numFmtId="0" fontId="9" fillId="0" borderId="47" xfId="162" applyFont="1" applyBorder="1" applyAlignment="1">
      <alignment horizontal="center"/>
    </xf>
    <xf numFmtId="0" fontId="9" fillId="0" borderId="13" xfId="162" applyFont="1" applyBorder="1" applyAlignment="1">
      <alignment horizontal="center"/>
    </xf>
    <xf numFmtId="0" fontId="9" fillId="0" borderId="48" xfId="162"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9" fillId="0" borderId="0" xfId="0" applyFont="1" applyAlignment="1">
      <alignment horizontal="left" wrapText="1"/>
    </xf>
    <xf numFmtId="0" fontId="94" fillId="0" borderId="0" xfId="0" applyFont="1" applyAlignment="1">
      <alignment horizontal="center" wrapText="1"/>
    </xf>
    <xf numFmtId="0" fontId="20" fillId="30" borderId="0" xfId="0" applyFont="1" applyFill="1" applyAlignment="1" applyProtection="1">
      <alignment wrapText="1"/>
      <protection locked="0"/>
    </xf>
    <xf numFmtId="0" fontId="140" fillId="0" borderId="0" xfId="0" applyFont="1" applyAlignment="1" applyProtection="1">
      <alignment horizontal="left" vertical="center" wrapText="1"/>
    </xf>
    <xf numFmtId="0" fontId="140" fillId="0" borderId="0" xfId="207" applyFont="1" applyBorder="1" applyAlignment="1" applyProtection="1">
      <alignment horizontal="center"/>
    </xf>
    <xf numFmtId="3" fontId="140" fillId="0" borderId="0" xfId="207" applyNumberFormat="1" applyFont="1" applyAlignment="1" applyProtection="1">
      <alignment horizontal="center"/>
    </xf>
    <xf numFmtId="3" fontId="102" fillId="0" borderId="0" xfId="258" applyNumberFormat="1" applyFont="1" applyAlignment="1" applyProtection="1">
      <alignment horizontal="center"/>
    </xf>
    <xf numFmtId="0" fontId="77" fillId="0" borderId="11" xfId="258" applyFont="1" applyFill="1" applyBorder="1" applyAlignment="1" applyProtection="1">
      <alignment wrapText="1"/>
    </xf>
    <xf numFmtId="0" fontId="0" fillId="0" borderId="11" xfId="0" applyFill="1" applyBorder="1" applyAlignment="1" applyProtection="1">
      <alignment wrapText="1"/>
    </xf>
    <xf numFmtId="0" fontId="6" fillId="0" borderId="0" xfId="258" applyFont="1" applyAlignment="1" applyProtection="1">
      <alignment horizontal="left" wrapText="1"/>
    </xf>
    <xf numFmtId="0" fontId="5" fillId="0" borderId="0" xfId="258" applyFont="1" applyAlignment="1" applyProtection="1">
      <alignment horizontal="left" wrapText="1"/>
    </xf>
    <xf numFmtId="0" fontId="102" fillId="0" borderId="0" xfId="258" applyFont="1" applyAlignment="1" applyProtection="1">
      <alignment horizontal="center"/>
    </xf>
    <xf numFmtId="0" fontId="102" fillId="0" borderId="0" xfId="258" applyFont="1" applyFill="1" applyAlignment="1" applyProtection="1">
      <alignment horizontal="center"/>
    </xf>
    <xf numFmtId="0" fontId="12" fillId="0" borderId="0" xfId="248" applyFont="1" applyFill="1" applyAlignment="1" applyProtection="1">
      <alignment horizontal="left" vertical="top" wrapText="1"/>
    </xf>
    <xf numFmtId="0" fontId="9" fillId="0" borderId="0" xfId="262" applyFont="1" applyAlignment="1" applyProtection="1">
      <alignment horizontal="center"/>
    </xf>
    <xf numFmtId="0" fontId="4" fillId="0" borderId="0" xfId="0" applyFont="1" applyFill="1" applyAlignment="1" applyProtection="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2" fillId="0" borderId="0" xfId="0" applyFont="1" applyFill="1" applyAlignment="1" applyProtection="1">
      <alignment horizontal="left" wrapText="1"/>
    </xf>
  </cellXfs>
  <cellStyles count="33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33" xr:uid="{C0A369C0-7B6E-401C-BE5B-5A65CDF64CBD}"/>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4" xfId="332" xr:uid="{19C74C8B-74E8-438E-98CE-B9318F524086}"/>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xfId="210" xr:uid="{00000000-0005-0000-0000-0000D2000000}"/>
    <cellStyle name="Normal 31 2" xfId="334" xr:uid="{60E8299D-4BAD-478C-9F64-2D8F46BC1140}"/>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xfId="335" xr:uid="{5897BDBC-76A5-42ED-B56D-1A6B919D3546}"/>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2 3" xfId="336" xr:uid="{1B4AB017-AF4F-4152-A050-1AB6CD8199E5}"/>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2 2" xfId="337" xr:uid="{AAFE9AC3-08EB-4815-89BD-C486F4FA739C}"/>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topLeftCell="B1" zoomScale="70" zoomScaleNormal="70" zoomScaleSheetLayoutView="70" zoomScalePageLayoutView="50" workbookViewId="0">
      <selection activeCell="D5" sqref="D5"/>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5" t="s">
        <v>406</v>
      </c>
    </row>
    <row r="2" spans="1:16" ht="15.75">
      <c r="A2" s="1005" t="s">
        <v>406</v>
      </c>
    </row>
    <row r="3" spans="1:16" ht="15.75">
      <c r="D3" s="156"/>
      <c r="E3" s="157"/>
      <c r="F3" s="157"/>
      <c r="G3" s="158"/>
      <c r="I3" s="159"/>
      <c r="J3" s="159"/>
      <c r="K3" s="159"/>
      <c r="L3" s="160"/>
      <c r="N3" s="155" t="s">
        <v>406</v>
      </c>
      <c r="O3" s="161" t="s">
        <v>406</v>
      </c>
      <c r="P3" s="155" t="s">
        <v>406</v>
      </c>
    </row>
    <row r="4" spans="1:16">
      <c r="I4" s="155" t="s">
        <v>546</v>
      </c>
      <c r="L4" s="420">
        <v>2025</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801</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20966885.169530723</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0</v>
      </c>
      <c r="H15" s="186"/>
      <c r="I15" s="190" t="s">
        <v>420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20966885.169530723</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62"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62"/>
      <c r="D21" s="1462"/>
      <c r="E21" s="1462"/>
      <c r="F21" s="1462"/>
      <c r="G21" s="1462"/>
      <c r="H21" s="1462"/>
      <c r="I21" s="1462"/>
    </row>
    <row r="22" spans="2:13" ht="35.25" customHeight="1">
      <c r="B22" s="1462"/>
      <c r="C22" s="1462"/>
      <c r="D22" s="1462"/>
      <c r="E22" s="1462"/>
      <c r="F22" s="1462"/>
      <c r="G22" s="1462"/>
      <c r="H22" s="1462"/>
      <c r="I22" s="1462"/>
    </row>
    <row r="23" spans="2:13" ht="15" customHeight="1">
      <c r="B23" s="200"/>
      <c r="C23" s="200"/>
      <c r="D23" s="200"/>
      <c r="E23" s="200"/>
      <c r="F23" s="200"/>
      <c r="G23" s="200"/>
      <c r="H23" s="200"/>
      <c r="I23" s="200"/>
    </row>
    <row r="24" spans="2:13">
      <c r="B24" s="170">
        <f>+B18+1</f>
        <v>5</v>
      </c>
      <c r="C24" s="194"/>
      <c r="D24" s="201" t="s">
        <v>548</v>
      </c>
      <c r="E24" s="185"/>
      <c r="F24" s="186"/>
      <c r="G24" s="1242">
        <f>+'WS J PROJECTED RTEP RR'!M26</f>
        <v>0</v>
      </c>
      <c r="H24" s="186"/>
      <c r="I24" s="190" t="s">
        <v>420</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0.15444164839764346</v>
      </c>
      <c r="M27" s="165"/>
    </row>
    <row r="28" spans="2:13">
      <c r="B28" s="170">
        <f>B27+1</f>
        <v>8</v>
      </c>
      <c r="C28" s="194"/>
      <c r="D28" s="205" t="s">
        <v>42</v>
      </c>
      <c r="E28" s="181" t="str">
        <f>"(ln "&amp;B27&amp;" / 12)"</f>
        <v>(ln 7 / 12)</v>
      </c>
      <c r="F28" s="171"/>
      <c r="G28" s="171"/>
      <c r="H28" s="171"/>
      <c r="I28" s="206"/>
      <c r="J28" s="206"/>
      <c r="K28" s="206"/>
      <c r="L28" s="208">
        <f>L27/12</f>
        <v>1.2870137366470288E-2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0.12461255064799079</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3.8841206806735494E-2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68" t="s">
        <v>207</v>
      </c>
      <c r="E39" s="1468"/>
      <c r="F39" s="1468"/>
      <c r="G39" s="1468"/>
      <c r="H39" s="1468"/>
      <c r="I39" s="1468"/>
      <c r="J39" s="1468"/>
      <c r="K39" s="1468"/>
      <c r="L39" s="1468"/>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174428.06407185999</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174428.06407185999</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63" t="s">
        <v>416</v>
      </c>
      <c r="J57" s="1464"/>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65" t="s">
        <v>411</v>
      </c>
      <c r="J60" s="1466"/>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150942714.51016599</v>
      </c>
      <c r="H63" s="203"/>
      <c r="I63" s="236" t="s">
        <v>420</v>
      </c>
      <c r="J63" s="191"/>
      <c r="K63" s="237"/>
      <c r="L63" s="238">
        <f>+L207</f>
        <v>150942714.51016599</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772034.44489920256</v>
      </c>
      <c r="H65" s="203"/>
      <c r="I65" s="190" t="s">
        <v>422</v>
      </c>
      <c r="J65" s="191">
        <f>L219</f>
        <v>1</v>
      </c>
      <c r="K65" s="186"/>
      <c r="L65" s="203">
        <f>+J65*G65</f>
        <v>772034.44489920256</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1747007.0233068008</v>
      </c>
      <c r="H67" s="203"/>
      <c r="I67" s="190" t="s">
        <v>422</v>
      </c>
      <c r="J67" s="191">
        <f>L219</f>
        <v>1</v>
      </c>
      <c r="K67" s="186"/>
      <c r="L67" s="242">
        <f>+J67*G67</f>
        <v>1747007.0233068008</v>
      </c>
      <c r="M67" s="168"/>
      <c r="N67" s="162"/>
      <c r="O67" s="162"/>
    </row>
    <row r="68" spans="2:15" ht="15.75">
      <c r="B68" s="170">
        <f>+B67+1</f>
        <v>24</v>
      </c>
      <c r="C68" s="233"/>
      <c r="D68" s="162" t="s">
        <v>371</v>
      </c>
      <c r="E68" s="186" t="str">
        <f>"(Sum of Lines: "&amp;B63&amp;" to "&amp;B67&amp;")"</f>
        <v>(Sum of Lines: 19 to 23)</v>
      </c>
      <c r="F68" s="243"/>
      <c r="G68" s="203">
        <f>SUM(G63:G67)</f>
        <v>153461755.97837198</v>
      </c>
      <c r="H68" s="203"/>
      <c r="I68" s="244" t="s">
        <v>759</v>
      </c>
      <c r="J68" s="245">
        <f>IF(G68=0,0,L68/G68)</f>
        <v>1</v>
      </c>
      <c r="K68" s="186"/>
      <c r="L68" s="203">
        <f>SUM(L63:L67)</f>
        <v>153461755.97837198</v>
      </c>
      <c r="M68" s="168"/>
      <c r="N68" s="162"/>
      <c r="O68" s="162"/>
    </row>
    <row r="69" spans="2:15" ht="15.75">
      <c r="B69" s="170"/>
      <c r="C69" s="171"/>
      <c r="D69" s="162"/>
      <c r="E69" s="1234"/>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15183446.287730694</v>
      </c>
      <c r="H71" s="203"/>
      <c r="I71" s="250" t="s">
        <v>420</v>
      </c>
      <c r="J71" s="251">
        <f>IF(G71=0,1,L71/G71)</f>
        <v>1</v>
      </c>
      <c r="K71" s="237"/>
      <c r="L71" s="203">
        <f>'WS A - Rate Base Support'!C64</f>
        <v>15183446.287730694</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58668.96907565833</v>
      </c>
      <c r="H73" s="203"/>
      <c r="I73" s="190" t="s">
        <v>422</v>
      </c>
      <c r="J73" s="191">
        <f>L219</f>
        <v>1</v>
      </c>
      <c r="K73" s="186"/>
      <c r="L73" s="203">
        <f>+J73*G73</f>
        <v>58668.96907565833</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979581.83426212636</v>
      </c>
      <c r="H75" s="203"/>
      <c r="I75" s="190" t="s">
        <v>422</v>
      </c>
      <c r="J75" s="191">
        <f>L219</f>
        <v>1</v>
      </c>
      <c r="K75" s="186"/>
      <c r="L75" s="1156">
        <f>+J75*G75</f>
        <v>979581.83426212636</v>
      </c>
      <c r="M75" s="186"/>
      <c r="N75" s="168"/>
      <c r="O75" s="168"/>
    </row>
    <row r="76" spans="2:15">
      <c r="B76" s="170">
        <f t="shared" si="0"/>
        <v>31</v>
      </c>
      <c r="C76" s="252"/>
      <c r="D76" s="205" t="s">
        <v>370</v>
      </c>
      <c r="E76" s="186" t="str">
        <f>"(Sum of Lines: "&amp;B71&amp;" to "&amp;B75&amp;")"</f>
        <v>(Sum of Lines: 26 to 30)</v>
      </c>
      <c r="F76" s="253"/>
      <c r="G76" s="203">
        <f>SUM(G71:G75)</f>
        <v>16221697.091068478</v>
      </c>
      <c r="H76" s="203"/>
      <c r="I76" s="190"/>
      <c r="J76" s="186"/>
      <c r="K76" s="203"/>
      <c r="L76" s="203">
        <f>SUM(L71:L75)</f>
        <v>16221697.091068478</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135759268.2224353</v>
      </c>
      <c r="H79" s="203"/>
      <c r="I79" s="190"/>
      <c r="J79" s="251"/>
      <c r="K79" s="186"/>
      <c r="L79" s="203">
        <f>+L63+L64-L71-L72</f>
        <v>135759268.2224353</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713365.4758235442</v>
      </c>
      <c r="H80" s="203"/>
      <c r="I80" s="190"/>
      <c r="J80" s="255"/>
      <c r="K80" s="186"/>
      <c r="L80" s="203">
        <f>+L65+L66-L73-L74</f>
        <v>713365.4758235442</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767425.18904467439</v>
      </c>
      <c r="H81" s="203"/>
      <c r="I81" s="190"/>
      <c r="J81" s="255"/>
      <c r="K81" s="186"/>
      <c r="L81" s="242">
        <f>+L67-L75</f>
        <v>767425.18904467439</v>
      </c>
      <c r="M81" s="168"/>
      <c r="N81" s="168"/>
      <c r="O81" s="168"/>
    </row>
    <row r="82" spans="2:15" ht="15.75">
      <c r="B82" s="170">
        <f>+B81+1</f>
        <v>36</v>
      </c>
      <c r="C82" s="233"/>
      <c r="D82" s="241" t="s">
        <v>369</v>
      </c>
      <c r="E82" s="186" t="str">
        <f>"(Sum of Lines: "&amp;B79&amp;" to "&amp;B81&amp;")"</f>
        <v>(Sum of Lines: 33 to 35)</v>
      </c>
      <c r="F82" s="186"/>
      <c r="G82" s="203">
        <f>SUM(G79:G81)</f>
        <v>137240058.88730353</v>
      </c>
      <c r="H82" s="203"/>
      <c r="I82" s="259" t="s">
        <v>760</v>
      </c>
      <c r="J82" s="245">
        <f>IF(G82=0,0,+L82/G82)</f>
        <v>1</v>
      </c>
      <c r="K82" s="186"/>
      <c r="L82" s="203">
        <f>SUM(L79:L81)</f>
        <v>137240058.88730353</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-9052633.2886153758</v>
      </c>
      <c r="H87" s="203"/>
      <c r="I87" s="190" t="s">
        <v>420</v>
      </c>
      <c r="J87" s="191"/>
      <c r="K87" s="186"/>
      <c r="L87" s="203">
        <f>-'WS B ADIT &amp; ITC'!I28</f>
        <v>-7602608.6433994099</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-2645012.3060729746</v>
      </c>
      <c r="H88" s="203"/>
      <c r="I88" s="190" t="s">
        <v>420</v>
      </c>
      <c r="J88" s="191"/>
      <c r="K88" s="186"/>
      <c r="L88" s="203">
        <f>-'WS B ADIT &amp; ITC'!I36</f>
        <v>-2086516.4360729745</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2244511.2836451456</v>
      </c>
      <c r="H89" s="203"/>
      <c r="I89" s="190" t="s">
        <v>420</v>
      </c>
      <c r="J89" s="191"/>
      <c r="K89" s="186"/>
      <c r="L89" s="203">
        <f>'WS B ADIT &amp; ITC'!I44</f>
        <v>2092213.9836451458</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-9453134.3110432047</v>
      </c>
      <c r="H91" s="263"/>
      <c r="I91" s="190"/>
      <c r="J91" s="210"/>
      <c r="K91" s="186"/>
      <c r="L91" s="203">
        <f>SUM(L86:L90)</f>
        <v>-7596911.0958272396</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635</v>
      </c>
      <c r="E97" s="186" t="s">
        <v>636</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388434.02774037246</v>
      </c>
      <c r="H100" s="186"/>
      <c r="I100" s="190"/>
      <c r="J100" s="255"/>
      <c r="K100" s="186"/>
      <c r="L100" s="203">
        <f>+L134/8</f>
        <v>388434.02774037246</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761</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26812</v>
      </c>
      <c r="H105" s="263"/>
      <c r="I105" s="190" t="s">
        <v>761</v>
      </c>
      <c r="J105" s="191">
        <f>J68</f>
        <v>1</v>
      </c>
      <c r="K105" s="186"/>
      <c r="L105" s="203">
        <f>+G105*J105</f>
        <v>26812</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415246.02774037246</v>
      </c>
      <c r="H108" s="181"/>
      <c r="I108" s="194"/>
      <c r="J108" s="181"/>
      <c r="K108" s="181"/>
      <c r="L108" s="203">
        <f>SUM(L100:L107)</f>
        <v>415246.02774037246</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Credits'!C23</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128202170.6040007</v>
      </c>
      <c r="H112" s="168"/>
      <c r="I112" s="168"/>
      <c r="J112" s="268"/>
      <c r="K112" s="168"/>
      <c r="L112" s="267">
        <f>+L108+L93+L91+L82+L110+L95+L97</f>
        <v>130058393.81921667</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63" t="s">
        <v>416</v>
      </c>
      <c r="J121" s="1467"/>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65" t="str">
        <f>I60</f>
        <v>Allocator</v>
      </c>
      <c r="J124" s="1466"/>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396">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3281900.2859948399</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3281900.2859948399</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174428.06407185999</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3107472.2219229797</v>
      </c>
      <c r="H134" s="186"/>
      <c r="I134" s="197" t="s">
        <v>412</v>
      </c>
      <c r="J134" s="191">
        <f>L209</f>
        <v>1</v>
      </c>
      <c r="K134" s="186"/>
      <c r="L134" s="203">
        <f>+J134*G134</f>
        <v>3107472.2219229797</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758</v>
      </c>
      <c r="F136" s="168"/>
      <c r="G136" s="145">
        <v>582428.22622406192</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24367.163877069299</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c r="B140" s="170">
        <f t="shared" si="4"/>
        <v>71</v>
      </c>
      <c r="C140" s="171"/>
      <c r="D140" s="205" t="s">
        <v>126</v>
      </c>
      <c r="E140" s="168" t="s">
        <v>389</v>
      </c>
      <c r="F140" s="186"/>
      <c r="G140" s="145">
        <f>'WS F Misc Exp'!D72</f>
        <v>6622.5650998609308</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551438.49724713166</v>
      </c>
      <c r="H141" s="203"/>
      <c r="I141" s="197" t="s">
        <v>422</v>
      </c>
      <c r="J141" s="191">
        <f>L219</f>
        <v>1</v>
      </c>
      <c r="K141" s="168"/>
      <c r="L141" s="257">
        <f>+J141*G141</f>
        <v>551438.49724713166</v>
      </c>
      <c r="M141" s="168"/>
      <c r="N141" s="168"/>
      <c r="O141" s="168"/>
    </row>
    <row r="142" spans="2:15">
      <c r="B142" s="170">
        <f t="shared" si="4"/>
        <v>73</v>
      </c>
      <c r="C142" s="194"/>
      <c r="D142" s="205" t="s">
        <v>479</v>
      </c>
      <c r="E142" s="186" t="str">
        <f>"(ln "&amp;B137&amp;")"</f>
        <v>(ln 68)</v>
      </c>
      <c r="F142" s="186"/>
      <c r="G142" s="203">
        <f>+G137</f>
        <v>24367.163877069299</v>
      </c>
      <c r="H142" s="203"/>
      <c r="I142" s="283" t="s">
        <v>634</v>
      </c>
      <c r="J142" s="191">
        <f>J68</f>
        <v>1</v>
      </c>
      <c r="K142" s="186"/>
      <c r="L142" s="203">
        <f>+J142*G142</f>
        <v>24367.163877069299</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287.31901828636103</v>
      </c>
      <c r="H145" s="284"/>
      <c r="I145" s="190" t="s">
        <v>420</v>
      </c>
      <c r="J145" s="191">
        <v>1</v>
      </c>
      <c r="K145" s="168"/>
      <c r="L145" s="285">
        <f>+J145*G145</f>
        <v>287.31901828636103</v>
      </c>
      <c r="M145" s="168"/>
      <c r="N145" s="168"/>
      <c r="O145" s="168"/>
    </row>
    <row r="146" spans="2:15">
      <c r="B146" s="170">
        <f>+B145+1</f>
        <v>77</v>
      </c>
      <c r="C146" s="171"/>
      <c r="D146" s="1298" t="s">
        <v>795</v>
      </c>
      <c r="E146" s="186" t="str">
        <f>"Worksheet O Ln "&amp;'Worksheet O'!A33&amp;"."&amp;'Worksheet O'!D11&amp;", (Note K &amp; M)"</f>
        <v>Worksheet O Ln 16.(B), (Note K &amp; M)</v>
      </c>
      <c r="F146" s="186"/>
      <c r="G146" s="1237">
        <f>'Worksheet O'!D33</f>
        <v>34164.914781220461</v>
      </c>
      <c r="H146" s="284"/>
      <c r="I146" s="197" t="s">
        <v>422</v>
      </c>
      <c r="J146" s="191">
        <f>L219</f>
        <v>1</v>
      </c>
      <c r="K146" s="168"/>
      <c r="L146" s="1315">
        <f>+J146*G146</f>
        <v>34164.914781220461</v>
      </c>
      <c r="M146" s="168"/>
      <c r="N146" s="168"/>
      <c r="O146" s="168"/>
    </row>
    <row r="147" spans="2:15">
      <c r="B147" s="170">
        <f>+B146+1</f>
        <v>78</v>
      </c>
      <c r="C147" s="171"/>
      <c r="D147" s="162" t="s">
        <v>401</v>
      </c>
      <c r="E147" s="186" t="str">
        <f>"(sum lns "&amp;B141&amp;"  to "&amp;B146&amp;")"</f>
        <v>(sum lns 72  to 77)</v>
      </c>
      <c r="F147" s="186"/>
      <c r="G147" s="257">
        <f>SUM(G141:G146)</f>
        <v>610257.8949237077</v>
      </c>
      <c r="H147" s="203"/>
      <c r="I147" s="197"/>
      <c r="J147" s="258"/>
      <c r="K147" s="168"/>
      <c r="L147" s="257">
        <f>SUM(L141:L146)</f>
        <v>610257.8949237077</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3717730.1168466872</v>
      </c>
      <c r="H149" s="203"/>
      <c r="I149" s="190"/>
      <c r="J149" s="186"/>
      <c r="K149" s="186"/>
      <c r="L149" s="203">
        <f>L134+L147</f>
        <v>3717730.1168466872</v>
      </c>
      <c r="M149" s="168"/>
      <c r="N149" s="168"/>
      <c r="O149" s="168"/>
    </row>
    <row r="150" spans="2:15" ht="15.75" thickBot="1">
      <c r="B150" s="256">
        <f>+B149+1</f>
        <v>80</v>
      </c>
      <c r="C150" s="194"/>
      <c r="D150" s="205" t="s">
        <v>272</v>
      </c>
      <c r="E150" s="205"/>
      <c r="F150" s="186"/>
      <c r="G150" s="141"/>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3717730.1168466872</v>
      </c>
      <c r="H151" s="203"/>
      <c r="I151" s="190"/>
      <c r="J151" s="186"/>
      <c r="K151" s="186"/>
      <c r="L151" s="203">
        <f>+L149+L150</f>
        <v>3717730.1168466872</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4049576.4822283401</v>
      </c>
      <c r="H154" s="287"/>
      <c r="I154" s="288" t="s">
        <v>412</v>
      </c>
      <c r="J154" s="191">
        <f>L209</f>
        <v>1</v>
      </c>
      <c r="K154" s="239"/>
      <c r="L154" s="289">
        <f>J154*G154</f>
        <v>4049576.4822283401</v>
      </c>
      <c r="M154" s="239"/>
      <c r="N154" s="168"/>
      <c r="O154" s="168"/>
    </row>
    <row r="155" spans="2:15">
      <c r="B155" s="170">
        <f>+B154+1</f>
        <v>84</v>
      </c>
      <c r="C155" s="171"/>
      <c r="D155" s="241" t="s">
        <v>426</v>
      </c>
      <c r="E155" s="286" t="s">
        <v>201</v>
      </c>
      <c r="F155" s="168"/>
      <c r="G155" s="149">
        <v>36243.020124687398</v>
      </c>
      <c r="H155" s="203"/>
      <c r="I155" s="197" t="s">
        <v>422</v>
      </c>
      <c r="J155" s="191">
        <f>L219</f>
        <v>1</v>
      </c>
      <c r="K155" s="168"/>
      <c r="L155" s="257">
        <f>+J155*G155</f>
        <v>36243.020124687398</v>
      </c>
      <c r="M155" s="168"/>
      <c r="N155" s="186"/>
      <c r="O155" s="168"/>
    </row>
    <row r="156" spans="2:15" ht="15.75" thickBot="1">
      <c r="B156" s="170">
        <f>+B155+1</f>
        <v>85</v>
      </c>
      <c r="C156" s="171"/>
      <c r="D156" s="241" t="s">
        <v>427</v>
      </c>
      <c r="E156" s="235" t="s">
        <v>202</v>
      </c>
      <c r="F156" s="186"/>
      <c r="G156" s="1318">
        <v>330855.67598730803</v>
      </c>
      <c r="H156" s="203"/>
      <c r="I156" s="197" t="s">
        <v>422</v>
      </c>
      <c r="J156" s="191">
        <f>L219</f>
        <v>1</v>
      </c>
      <c r="K156" s="168"/>
      <c r="L156" s="266">
        <f>+J156*G156</f>
        <v>330855.67598730803</v>
      </c>
      <c r="M156" s="168"/>
      <c r="N156" s="186"/>
      <c r="O156" s="168"/>
    </row>
    <row r="157" spans="2:15" ht="15" customHeight="1">
      <c r="B157" s="170">
        <f>+B156+1</f>
        <v>86</v>
      </c>
      <c r="C157" s="171"/>
      <c r="D157" s="241" t="s">
        <v>96</v>
      </c>
      <c r="E157" s="290" t="str">
        <f>"(Ln "&amp;B154&amp;"+"&amp;B155&amp;"+"&amp;B156&amp;")"</f>
        <v>(Ln 83+84+85)</v>
      </c>
      <c r="F157" s="168"/>
      <c r="G157" s="203">
        <f>+G154+G155+G156</f>
        <v>4416675.1783403354</v>
      </c>
      <c r="H157" s="186"/>
      <c r="I157" s="197"/>
      <c r="J157" s="168"/>
      <c r="K157" s="168"/>
      <c r="L157" s="203">
        <f>+L154+L155+L156</f>
        <v>4416675.1783403354</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873999.99999999895</v>
      </c>
      <c r="H163" s="203"/>
      <c r="I163" s="190" t="s">
        <v>420</v>
      </c>
      <c r="J163" s="191">
        <v>1</v>
      </c>
      <c r="K163" s="186"/>
      <c r="L163" s="203">
        <f>'WS H-p2 Detail of Tax Amts'!I22</f>
        <v>873999.99999999895</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314225</v>
      </c>
      <c r="H165" s="263"/>
      <c r="I165" s="197" t="s">
        <v>761</v>
      </c>
      <c r="J165" s="191">
        <f>J68</f>
        <v>1</v>
      </c>
      <c r="K165" s="168"/>
      <c r="L165" s="266">
        <f>+J165*G165</f>
        <v>314225</v>
      </c>
      <c r="M165" s="186"/>
      <c r="N165" s="168"/>
      <c r="O165" s="168"/>
    </row>
    <row r="166" spans="2:15">
      <c r="B166" s="170">
        <f>+B165+1</f>
        <v>94</v>
      </c>
      <c r="C166" s="171"/>
      <c r="D166" s="241" t="s">
        <v>358</v>
      </c>
      <c r="E166" s="196" t="str">
        <f>"(sum lns "&amp;B161&amp;" to "&amp;B165&amp;")"</f>
        <v>(sum lns 89 to 93)</v>
      </c>
      <c r="F166" s="168"/>
      <c r="G166" s="203">
        <f>SUM(G161:G165)</f>
        <v>1188224.9999999991</v>
      </c>
      <c r="H166" s="186"/>
      <c r="I166" s="197"/>
      <c r="J166" s="294"/>
      <c r="K166" s="168"/>
      <c r="L166" s="257">
        <f>SUM(L161:L165)</f>
        <v>1188224.9999999991</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0.26142900000000002</v>
      </c>
      <c r="H169" s="301"/>
      <c r="I169" s="301"/>
      <c r="K169" s="302"/>
      <c r="L169" s="297"/>
      <c r="M169" s="168"/>
      <c r="N169" s="168"/>
      <c r="O169" s="168"/>
    </row>
    <row r="170" spans="2:15">
      <c r="B170" s="170">
        <f t="shared" si="6"/>
        <v>97</v>
      </c>
      <c r="C170" s="171"/>
      <c r="D170" s="261" t="s">
        <v>133</v>
      </c>
      <c r="E170" s="168"/>
      <c r="F170" s="299"/>
      <c r="G170" s="300">
        <f>IF(L233&gt;0,($G169/(1-$G169))*(1-$L233/$L236),0)</f>
        <v>0.26182745893581627</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1.3539659694193247</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3"/>
      <c r="K174" s="203"/>
      <c r="L174" s="160"/>
      <c r="M174" s="197"/>
      <c r="N174" s="168"/>
      <c r="O174" s="168"/>
    </row>
    <row r="175" spans="2:15">
      <c r="B175" s="170">
        <f t="shared" ref="B175:B181" si="7">+B174+1</f>
        <v>102</v>
      </c>
      <c r="C175" s="171"/>
      <c r="D175" s="240" t="s">
        <v>550</v>
      </c>
      <c r="E175" s="186" t="s">
        <v>762</v>
      </c>
      <c r="F175" s="1235"/>
      <c r="G175" s="149">
        <v>1019.99999999999</v>
      </c>
      <c r="H175" s="348"/>
      <c r="I175" s="315" t="s">
        <v>638</v>
      </c>
      <c r="J175" s="191">
        <f>NP_h</f>
        <v>1</v>
      </c>
      <c r="K175" s="203"/>
      <c r="L175" s="189">
        <f>+G175*J175</f>
        <v>1019.99999999999</v>
      </c>
      <c r="M175" s="168"/>
      <c r="N175" s="168"/>
      <c r="O175" s="168"/>
    </row>
    <row r="176" spans="2:15">
      <c r="B176" s="170">
        <f t="shared" si="7"/>
        <v>103</v>
      </c>
      <c r="C176" s="171"/>
      <c r="D176" s="240" t="s">
        <v>637</v>
      </c>
      <c r="E176" s="186" t="s">
        <v>762</v>
      </c>
      <c r="F176" s="1235"/>
      <c r="G176" s="149">
        <v>21066.367515653448</v>
      </c>
      <c r="H176" s="348"/>
      <c r="I176" s="315" t="s">
        <v>638</v>
      </c>
      <c r="J176" s="191">
        <f>NP_h</f>
        <v>1</v>
      </c>
      <c r="K176" s="203"/>
      <c r="L176" s="189">
        <f>+G176*J176</f>
        <v>21066.367515653448</v>
      </c>
      <c r="M176" s="168"/>
      <c r="N176" s="168"/>
      <c r="O176" s="168"/>
    </row>
    <row r="177" spans="2:15">
      <c r="B177" s="170">
        <f t="shared" si="7"/>
        <v>104</v>
      </c>
      <c r="C177" s="171"/>
      <c r="D177" s="307" t="s">
        <v>135</v>
      </c>
      <c r="E177" s="312" t="str">
        <f>"(ln "&amp;B170&amp;" * ln "&amp;B183&amp;")"</f>
        <v>(ln 97 * ln 109)</v>
      </c>
      <c r="F177" s="313"/>
      <c r="G177" s="203">
        <f>+G170*G183</f>
        <v>2375566.2356615346</v>
      </c>
      <c r="H177" s="348"/>
      <c r="I177" s="283"/>
      <c r="J177" s="1236"/>
      <c r="K177" s="203"/>
      <c r="L177" s="203">
        <f>+L183*G170</f>
        <v>2409961.7624700372</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638</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1381.0452888076977</v>
      </c>
      <c r="H179" s="348"/>
      <c r="I179" s="315"/>
      <c r="J179" s="191"/>
      <c r="K179" s="203"/>
      <c r="L179" s="189">
        <f>G173*L175</f>
        <v>1381.0452888076977</v>
      </c>
      <c r="M179" s="168"/>
      <c r="N179" s="168"/>
      <c r="O179" s="168"/>
    </row>
    <row r="180" spans="2:15">
      <c r="B180" s="170">
        <f t="shared" si="7"/>
        <v>107</v>
      </c>
      <c r="C180" s="171"/>
      <c r="D180" s="240" t="s">
        <v>637</v>
      </c>
      <c r="E180" s="312" t="str">
        <f>"(ln "&amp;B173&amp;" * ln "&amp;B176&amp;")"</f>
        <v>(ln 100 * ln 103)</v>
      </c>
      <c r="F180" s="312"/>
      <c r="G180" s="1237">
        <f>G173*G176</f>
        <v>28523.14471547549</v>
      </c>
      <c r="H180" s="348"/>
      <c r="I180" s="315"/>
      <c r="J180" s="191"/>
      <c r="K180" s="203"/>
      <c r="L180" s="1237">
        <f>G173*L176</f>
        <v>28523.14471547549</v>
      </c>
      <c r="M180" s="168"/>
      <c r="N180" s="168"/>
      <c r="O180" s="168"/>
    </row>
    <row r="181" spans="2:15">
      <c r="B181" s="256">
        <f t="shared" si="7"/>
        <v>108</v>
      </c>
      <c r="C181" s="171"/>
      <c r="D181" s="298" t="s">
        <v>359</v>
      </c>
      <c r="E181" s="168" t="str">
        <f>"(sum lns "&amp;B177&amp;" to "&amp;B180&amp;")"</f>
        <v>(sum lns 104 to 107)</v>
      </c>
      <c r="F181" s="312"/>
      <c r="G181" s="315">
        <f>SUM(G177:G180)</f>
        <v>2405470.4256658177</v>
      </c>
      <c r="H181" s="209"/>
      <c r="I181" s="213" t="s">
        <v>406</v>
      </c>
      <c r="J181" s="316"/>
      <c r="K181" s="257"/>
      <c r="L181" s="315">
        <f>SUM(L177:L180)</f>
        <v>2439865.9524743203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9073021.7728762925</v>
      </c>
      <c r="H183" s="186"/>
      <c r="I183" s="213"/>
      <c r="J183" s="257"/>
      <c r="K183" s="257"/>
      <c r="L183" s="317">
        <f>+L236*L112</f>
        <v>9204388.9218693804</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20801122.493729133</v>
      </c>
      <c r="L191" s="321">
        <f>+L185+L183+L181+L166+L157+L151+L187+L189</f>
        <v>20966885.169530723</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150942714.51016599</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150942714.51016599</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319135.769924219</v>
      </c>
      <c r="H213" s="339">
        <f>+F213+G213</f>
        <v>319135.769924219</v>
      </c>
      <c r="I213" s="194" t="s">
        <v>412</v>
      </c>
      <c r="J213" s="191">
        <f>L209</f>
        <v>1</v>
      </c>
      <c r="K213" s="340"/>
      <c r="L213" s="257">
        <f>(F213+G213)*J213</f>
        <v>319135.769924219</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186"/>
      <c r="H215" s="203"/>
      <c r="I215" s="190"/>
      <c r="J215" s="191"/>
      <c r="K215" s="186"/>
      <c r="L215" s="203"/>
      <c r="M215" s="168"/>
    </row>
    <row r="216" spans="2:24" ht="15.75" thickBot="1">
      <c r="B216" s="170">
        <f t="shared" si="8"/>
        <v>124</v>
      </c>
      <c r="C216" s="194"/>
      <c r="D216" s="240" t="s">
        <v>483</v>
      </c>
      <c r="E216" s="168" t="s">
        <v>206</v>
      </c>
      <c r="F216" s="1391">
        <v>0</v>
      </c>
      <c r="G216" s="1391">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319135.769924219</v>
      </c>
      <c r="H217" s="186">
        <f>SUM(H212:H216)</f>
        <v>319135.769924219</v>
      </c>
      <c r="I217" s="197"/>
      <c r="J217" s="168"/>
      <c r="K217" s="168"/>
      <c r="L217" s="257">
        <f>SUM(L212:L216)</f>
        <v>319135.769924219</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2258900</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62019842.54966636</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7">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62019842.54966636</v>
      </c>
      <c r="M230" s="168"/>
    </row>
    <row r="231" spans="2:13" ht="15.75">
      <c r="B231" s="170"/>
      <c r="C231" s="171"/>
      <c r="D231" s="240"/>
      <c r="E231" s="186"/>
      <c r="F231" s="186"/>
      <c r="G231" s="1458" t="s">
        <v>264</v>
      </c>
      <c r="H231" s="1458"/>
      <c r="I231" s="186"/>
      <c r="J231" s="271" t="s">
        <v>435</v>
      </c>
      <c r="K231" s="186"/>
      <c r="L231" s="186"/>
      <c r="M231" s="168"/>
    </row>
    <row r="232" spans="2:13" ht="15.75" thickBot="1">
      <c r="B232" s="193"/>
      <c r="C232" s="194"/>
      <c r="D232" s="240"/>
      <c r="E232" s="160"/>
      <c r="F232" s="186"/>
      <c r="G232" s="350" t="s">
        <v>434</v>
      </c>
      <c r="H232" s="350" t="s">
        <v>808</v>
      </c>
      <c r="I232" s="344" t="s">
        <v>807</v>
      </c>
      <c r="J232" s="351" t="s">
        <v>544</v>
      </c>
      <c r="K232" s="186"/>
      <c r="L232" s="350" t="s">
        <v>437</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60600000</v>
      </c>
      <c r="H233" s="352">
        <f>IF($G$236=0,0,G233/$G$236)</f>
        <v>0.49421038830199421</v>
      </c>
      <c r="I233" s="1317">
        <f>IF(H235&gt;E238,1-I235,H233)</f>
        <v>0.49421038830199421</v>
      </c>
      <c r="J233" s="352">
        <f>IF(G233=0,0,L223/G233)</f>
        <v>3.7275577557755776E-2</v>
      </c>
      <c r="K233" s="160"/>
      <c r="L233" s="353">
        <f>I233*J233</f>
        <v>1.8421977658999583E-2</v>
      </c>
      <c r="M233" s="168"/>
    </row>
    <row r="234" spans="2:13" ht="15.75" thickBot="1">
      <c r="B234" s="193">
        <f>B233+1</f>
        <v>137</v>
      </c>
      <c r="C234" s="194"/>
      <c r="D234" s="240" t="str">
        <f>"  Preferred Stock (ln "&amp;B227&amp;")"</f>
        <v xml:space="preserve">  Preferred Stock (ln 132)</v>
      </c>
      <c r="E234" s="160"/>
      <c r="F234" s="160"/>
      <c r="G234" s="203">
        <f>L227</f>
        <v>0</v>
      </c>
      <c r="H234" s="352">
        <f>IF($G$236=0,0,G234/$G$236)</f>
        <v>0</v>
      </c>
      <c r="I234" s="1317">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62019842.54966636</v>
      </c>
      <c r="H235" s="1314">
        <f>IF($G$236=0,0,G235/$G$236)</f>
        <v>0.50578961169800585</v>
      </c>
      <c r="I235" s="1317">
        <f>IF(H235&gt;E238,E238,H235)</f>
        <v>0.50578961169800585</v>
      </c>
      <c r="J235" s="419">
        <v>0.10349999999999999</v>
      </c>
      <c r="K235" s="160"/>
      <c r="L235" s="355">
        <f>I235*J235</f>
        <v>5.2349224810743604E-2</v>
      </c>
      <c r="M235" s="168"/>
    </row>
    <row r="236" spans="2:13" ht="15.75">
      <c r="B236" s="193">
        <f>B235+1</f>
        <v>139</v>
      </c>
      <c r="C236" s="194"/>
      <c r="D236" s="240" t="str">
        <f>" Total (Sum lns "&amp;B233&amp;" to "&amp;B235&amp;")"</f>
        <v xml:space="preserve"> Total (Sum lns 136 to 138)</v>
      </c>
      <c r="E236" s="160"/>
      <c r="F236" s="160"/>
      <c r="G236" s="203">
        <f>SUM(G233:G235)</f>
        <v>122619842.54966636</v>
      </c>
      <c r="H236" s="210">
        <f>SUM(H233:H235)</f>
        <v>1</v>
      </c>
      <c r="I236" s="186"/>
      <c r="J236" s="356"/>
      <c r="K236" s="259" t="s">
        <v>354</v>
      </c>
      <c r="L236" s="357">
        <f>SUM(L233:L235)</f>
        <v>7.0771202469743194E-2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806</v>
      </c>
      <c r="E238" s="1317">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480</v>
      </c>
      <c r="E241" s="362"/>
      <c r="F241" s="362"/>
      <c r="G241" s="362"/>
      <c r="H241" s="362"/>
      <c r="I241" s="362"/>
      <c r="J241" s="362"/>
      <c r="K241" s="362"/>
      <c r="L241" s="367" t="s">
        <v>434</v>
      </c>
      <c r="M241" s="168"/>
    </row>
    <row r="242" spans="2:21" hidden="1">
      <c r="B242" s="358">
        <f t="shared" ref="B242:B249" si="10">+B241+1</f>
        <v>142</v>
      </c>
      <c r="C242" s="359"/>
      <c r="D242" s="362" t="s">
        <v>500</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501</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57"/>
      <c r="H250" s="1457"/>
      <c r="I250" s="377"/>
      <c r="J250" s="363"/>
      <c r="K250" s="362"/>
      <c r="L250" s="362"/>
      <c r="M250" s="168"/>
    </row>
    <row r="251" spans="2:21" ht="15.75" hidden="1" thickBot="1">
      <c r="B251" s="358">
        <f>+B249+1</f>
        <v>150</v>
      </c>
      <c r="C251" s="359"/>
      <c r="D251" s="366"/>
      <c r="E251" s="363"/>
      <c r="F251" s="363"/>
      <c r="G251" s="378" t="s">
        <v>436</v>
      </c>
      <c r="H251" s="378" t="s">
        <v>434</v>
      </c>
      <c r="I251" s="377"/>
      <c r="J251" s="379" t="s">
        <v>435</v>
      </c>
      <c r="K251" s="362"/>
      <c r="L251" s="378" t="s">
        <v>437</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466</v>
      </c>
      <c r="C264" s="178"/>
      <c r="D264" s="205"/>
      <c r="E264" s="181"/>
      <c r="F264" s="397" t="s">
        <v>465</v>
      </c>
      <c r="G264" s="186"/>
      <c r="H264" s="186"/>
      <c r="I264" s="186"/>
      <c r="J264" s="186" t="s">
        <v>621</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438</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603</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590</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604</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591</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439</v>
      </c>
      <c r="C282" s="194"/>
      <c r="D282" s="1459" t="s">
        <v>605</v>
      </c>
      <c r="E282" s="1460"/>
      <c r="F282" s="1460"/>
      <c r="G282" s="1460"/>
      <c r="H282" s="1460"/>
      <c r="I282" s="1460"/>
      <c r="J282" s="1460"/>
      <c r="K282" s="1460"/>
      <c r="L282" s="205"/>
      <c r="M282" s="181"/>
      <c r="N282" s="181"/>
      <c r="O282" s="181"/>
      <c r="P282" s="181"/>
      <c r="Q282" s="181"/>
      <c r="R282" s="181"/>
      <c r="S282" s="181"/>
      <c r="T282" s="181"/>
      <c r="U282" s="181"/>
    </row>
    <row r="283" spans="2:21">
      <c r="B283" s="193"/>
      <c r="C283" s="194"/>
      <c r="D283" s="1460"/>
      <c r="E283" s="1460"/>
      <c r="F283" s="1460"/>
      <c r="G283" s="1460"/>
      <c r="H283" s="1460"/>
      <c r="I283" s="1460"/>
      <c r="J283" s="1460"/>
      <c r="K283" s="1460"/>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440</v>
      </c>
      <c r="C285" s="194"/>
      <c r="D285" s="394" t="s">
        <v>800</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441</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592</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593</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594</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442</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443</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499</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444</v>
      </c>
      <c r="C306" s="160"/>
      <c r="D306" s="147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73"/>
      <c r="F306" s="1473"/>
      <c r="G306" s="1473"/>
      <c r="H306" s="1473"/>
      <c r="I306" s="1473"/>
      <c r="J306" s="1473"/>
      <c r="K306" s="1473"/>
      <c r="L306" s="160"/>
      <c r="M306" s="160"/>
      <c r="N306" s="181"/>
      <c r="O306" s="181"/>
      <c r="P306" s="181"/>
      <c r="Q306" s="181"/>
      <c r="R306" s="181"/>
      <c r="S306" s="181"/>
      <c r="T306" s="181"/>
      <c r="U306" s="181"/>
    </row>
    <row r="307" spans="2:21" ht="45" customHeight="1">
      <c r="B307" s="398"/>
      <c r="C307" s="160"/>
      <c r="D307" s="1473"/>
      <c r="E307" s="1473"/>
      <c r="F307" s="1473"/>
      <c r="G307" s="1473"/>
      <c r="H307" s="1473"/>
      <c r="I307" s="1473"/>
      <c r="J307" s="1473"/>
      <c r="K307" s="1473"/>
      <c r="L307" s="160"/>
      <c r="M307" s="160"/>
      <c r="N307" s="181"/>
      <c r="O307" s="181"/>
      <c r="P307" s="181"/>
      <c r="Q307" s="181"/>
      <c r="R307" s="181"/>
      <c r="S307" s="181"/>
      <c r="T307" s="181"/>
      <c r="U307" s="181"/>
    </row>
    <row r="308" spans="2:21" ht="5.25" hidden="1" customHeight="1">
      <c r="B308" s="398"/>
      <c r="C308" s="160"/>
      <c r="D308" s="1473"/>
      <c r="E308" s="1473"/>
      <c r="F308" s="1473"/>
      <c r="G308" s="1473"/>
      <c r="H308" s="1473"/>
      <c r="I308" s="1473"/>
      <c r="J308" s="1473"/>
      <c r="K308" s="1473"/>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445</v>
      </c>
      <c r="C310" s="160"/>
      <c r="D310" s="147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76"/>
      <c r="F310" s="1476"/>
      <c r="G310" s="1476"/>
      <c r="H310" s="1476"/>
      <c r="I310" s="1476"/>
      <c r="J310" s="1476"/>
      <c r="K310" s="1476"/>
      <c r="L310" s="160"/>
      <c r="M310" s="160"/>
      <c r="N310" s="181"/>
      <c r="O310" s="181"/>
      <c r="P310" s="181"/>
      <c r="Q310" s="181"/>
      <c r="R310" s="181"/>
      <c r="S310" s="181"/>
      <c r="T310" s="181"/>
      <c r="U310" s="181"/>
    </row>
    <row r="311" spans="2:21">
      <c r="B311" s="398"/>
      <c r="C311" s="160"/>
      <c r="D311" s="1476"/>
      <c r="E311" s="1476"/>
      <c r="F311" s="1476"/>
      <c r="G311" s="1476"/>
      <c r="H311" s="1476"/>
      <c r="I311" s="1476"/>
      <c r="J311" s="1476"/>
      <c r="K311" s="1476"/>
      <c r="L311" s="160"/>
      <c r="M311" s="160"/>
      <c r="N311" s="181"/>
      <c r="O311" s="181"/>
      <c r="P311" s="181"/>
      <c r="Q311" s="181"/>
      <c r="R311" s="181"/>
      <c r="S311" s="181"/>
      <c r="T311" s="181"/>
      <c r="U311" s="181"/>
    </row>
    <row r="312" spans="2:21">
      <c r="B312" s="398"/>
      <c r="C312" s="160"/>
      <c r="D312" s="1477"/>
      <c r="E312" s="1477"/>
      <c r="F312" s="1477"/>
      <c r="G312" s="1477"/>
      <c r="H312" s="1477"/>
      <c r="I312" s="1477"/>
      <c r="J312" s="1477"/>
      <c r="K312" s="1477"/>
      <c r="L312" s="160"/>
      <c r="M312" s="160"/>
      <c r="N312" s="181"/>
      <c r="O312" s="181"/>
      <c r="P312" s="181"/>
      <c r="Q312" s="181"/>
      <c r="R312" s="181"/>
      <c r="S312" s="181"/>
      <c r="T312" s="181"/>
      <c r="U312" s="181"/>
    </row>
    <row r="313" spans="2:21">
      <c r="B313" s="398"/>
      <c r="C313" s="160"/>
      <c r="D313" s="147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78"/>
      <c r="F313" s="1478"/>
      <c r="G313" s="1478"/>
      <c r="H313" s="1478"/>
      <c r="I313" s="1478"/>
      <c r="J313" s="1478"/>
      <c r="K313" s="407"/>
      <c r="L313" s="160"/>
      <c r="M313" s="160"/>
      <c r="N313" s="181"/>
      <c r="O313" s="181"/>
      <c r="P313" s="181"/>
      <c r="Q313" s="181"/>
      <c r="R313" s="181"/>
      <c r="S313" s="181"/>
      <c r="T313" s="181"/>
      <c r="U313" s="181"/>
    </row>
    <row r="314" spans="2:21">
      <c r="B314" s="398"/>
      <c r="C314" s="160"/>
      <c r="D314" s="1478"/>
      <c r="E314" s="1478"/>
      <c r="F314" s="1478"/>
      <c r="G314" s="1478"/>
      <c r="H314" s="1478"/>
      <c r="I314" s="1478"/>
      <c r="J314" s="1478"/>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446</v>
      </c>
      <c r="C317" s="160"/>
      <c r="D317" s="406" t="s">
        <v>595</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447</v>
      </c>
      <c r="C319" s="160"/>
      <c r="D319" s="1480" t="s">
        <v>7</v>
      </c>
      <c r="E319" s="1460"/>
      <c r="F319" s="1460"/>
      <c r="G319" s="1460"/>
      <c r="H319" s="1460"/>
      <c r="I319" s="1460"/>
      <c r="J319" s="1460"/>
      <c r="K319" s="406"/>
      <c r="L319" s="160"/>
      <c r="M319" s="160"/>
      <c r="N319" s="181"/>
      <c r="O319" s="181"/>
      <c r="P319" s="181"/>
      <c r="Q319" s="181"/>
      <c r="R319" s="181"/>
      <c r="S319" s="181"/>
      <c r="T319" s="181"/>
      <c r="U319" s="181"/>
    </row>
    <row r="320" spans="2:21">
      <c r="B320" s="398"/>
      <c r="C320" s="160"/>
      <c r="D320" s="1481"/>
      <c r="E320" s="1481"/>
      <c r="F320" s="1481"/>
      <c r="G320" s="1481"/>
      <c r="H320" s="1481"/>
      <c r="I320" s="1481"/>
      <c r="J320" s="1481"/>
      <c r="K320" s="409"/>
      <c r="L320" s="160"/>
      <c r="M320" s="160"/>
      <c r="N320" s="181"/>
      <c r="O320" s="181"/>
      <c r="P320" s="181"/>
      <c r="Q320" s="181"/>
      <c r="R320" s="181"/>
      <c r="S320" s="181"/>
      <c r="T320" s="181"/>
      <c r="U320" s="181"/>
    </row>
    <row r="321" spans="2:21">
      <c r="B321" s="398"/>
      <c r="C321" s="160"/>
      <c r="D321" s="1460"/>
      <c r="E321" s="1460"/>
      <c r="F321" s="1460"/>
      <c r="G321" s="1460"/>
      <c r="H321" s="1460"/>
      <c r="I321" s="1460"/>
      <c r="J321" s="1460"/>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448</v>
      </c>
      <c r="C323" s="160"/>
      <c r="D323" s="1474" t="s">
        <v>798</v>
      </c>
      <c r="E323" s="1475"/>
      <c r="F323" s="1475"/>
      <c r="G323" s="1475"/>
      <c r="H323" s="1475"/>
      <c r="I323" s="1475"/>
      <c r="J323" s="1475"/>
      <c r="K323" s="1475"/>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449</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450</v>
      </c>
      <c r="C330" s="194"/>
      <c r="D330" s="1479" t="s">
        <v>799</v>
      </c>
      <c r="E330" s="1479"/>
      <c r="F330" s="1479"/>
      <c r="G330" s="1479"/>
      <c r="H330" s="1479"/>
      <c r="I330" s="1479"/>
      <c r="J330" s="1479"/>
      <c r="K330" s="1479"/>
      <c r="L330" s="1479"/>
      <c r="M330" s="160"/>
      <c r="N330" s="181"/>
      <c r="O330" s="181"/>
      <c r="P330" s="181"/>
      <c r="Q330" s="181"/>
      <c r="R330" s="181"/>
      <c r="S330" s="181"/>
      <c r="T330" s="181"/>
      <c r="U330" s="181"/>
    </row>
    <row r="331" spans="2:21">
      <c r="B331" s="193"/>
      <c r="C331" s="194"/>
      <c r="D331" s="1479"/>
      <c r="E331" s="1479"/>
      <c r="F331" s="1479"/>
      <c r="G331" s="1479"/>
      <c r="H331" s="1479"/>
      <c r="I331" s="1479"/>
      <c r="J331" s="1479"/>
      <c r="K331" s="1479"/>
      <c r="L331" s="1479"/>
      <c r="M331" s="160"/>
      <c r="N331" s="181"/>
      <c r="O331" s="181"/>
      <c r="P331" s="181"/>
      <c r="Q331" s="181"/>
      <c r="R331" s="181"/>
      <c r="S331" s="181"/>
      <c r="T331" s="181"/>
      <c r="U331" s="181"/>
    </row>
    <row r="332" spans="2:21">
      <c r="B332" s="193"/>
      <c r="C332" s="194"/>
      <c r="D332" s="1479"/>
      <c r="E332" s="1479"/>
      <c r="F332" s="1479"/>
      <c r="G332" s="1479"/>
      <c r="H332" s="1479"/>
      <c r="I332" s="1479"/>
      <c r="J332" s="1479"/>
      <c r="K332" s="1479"/>
      <c r="L332" s="1479"/>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586</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6.5100000000000005E-2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82" t="s">
        <v>596</v>
      </c>
      <c r="E344" s="1482"/>
      <c r="F344" s="1482"/>
      <c r="G344" s="1482"/>
      <c r="H344" s="1482"/>
      <c r="I344" s="1482"/>
      <c r="J344" s="1482"/>
      <c r="K344" s="160"/>
      <c r="L344" s="160"/>
      <c r="M344" s="181"/>
      <c r="N344" s="181"/>
      <c r="O344" s="181"/>
      <c r="P344" s="181"/>
      <c r="Q344" s="181"/>
      <c r="R344" s="181"/>
      <c r="S344" s="181"/>
      <c r="T344" s="181"/>
      <c r="U344" s="181"/>
    </row>
    <row r="345" spans="2:21">
      <c r="B345" s="193" t="s">
        <v>144</v>
      </c>
      <c r="C345" s="194"/>
      <c r="D345" s="205" t="s">
        <v>539</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616</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61"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1" s="1461"/>
      <c r="F351" s="1461"/>
      <c r="G351" s="1461"/>
      <c r="H351" s="1461"/>
      <c r="I351" s="1461"/>
      <c r="J351" s="1461"/>
      <c r="M351" s="173"/>
      <c r="N351" s="173"/>
      <c r="O351" s="181"/>
      <c r="P351" s="181"/>
      <c r="Q351" s="181"/>
      <c r="R351" s="181"/>
      <c r="S351" s="181"/>
      <c r="T351" s="181"/>
      <c r="U351" s="181"/>
    </row>
    <row r="352" spans="2:21" ht="15.75">
      <c r="B352" s="413"/>
      <c r="C352" s="413"/>
      <c r="D352" s="1461" t="s">
        <v>811</v>
      </c>
      <c r="E352" s="1461"/>
      <c r="F352" s="1461"/>
      <c r="G352" s="1461"/>
      <c r="H352" s="1461"/>
      <c r="I352" s="1461"/>
      <c r="J352" s="1461"/>
      <c r="M352" s="173"/>
      <c r="N352" s="173"/>
      <c r="O352" s="181"/>
      <c r="P352" s="181"/>
      <c r="Q352" s="181"/>
      <c r="R352" s="181"/>
      <c r="S352" s="181"/>
      <c r="T352" s="181"/>
      <c r="U352" s="181"/>
    </row>
    <row r="353" spans="2:21" ht="15.75">
      <c r="B353" s="413"/>
      <c r="C353" s="413"/>
      <c r="D353" s="1461"/>
      <c r="E353" s="1461"/>
      <c r="F353" s="1461"/>
      <c r="G353" s="1461"/>
      <c r="H353" s="1461"/>
      <c r="I353" s="1461"/>
      <c r="J353" s="1461"/>
      <c r="M353" s="173"/>
      <c r="N353" s="173"/>
      <c r="O353" s="181"/>
      <c r="P353" s="181"/>
      <c r="Q353" s="181"/>
      <c r="R353" s="181"/>
      <c r="S353" s="181"/>
      <c r="T353" s="181"/>
      <c r="U353" s="181"/>
    </row>
    <row r="354" spans="2:21" ht="95.25" customHeight="1">
      <c r="B354" s="413"/>
      <c r="C354" s="413"/>
      <c r="D354" s="1461"/>
      <c r="E354" s="1461"/>
      <c r="F354" s="1461"/>
      <c r="G354" s="1461"/>
      <c r="H354" s="1461"/>
      <c r="I354" s="1461"/>
      <c r="J354" s="1461"/>
      <c r="M354" s="173"/>
      <c r="N354" s="173"/>
      <c r="O354" s="181"/>
      <c r="P354" s="181"/>
      <c r="Q354" s="181"/>
      <c r="R354" s="181"/>
      <c r="S354" s="181"/>
      <c r="T354" s="181"/>
      <c r="U354" s="181"/>
    </row>
    <row r="355" spans="2:21" ht="0.75" hidden="1" customHeight="1">
      <c r="B355" s="413"/>
      <c r="C355" s="413"/>
      <c r="D355" s="1270"/>
      <c r="E355" s="1270"/>
      <c r="F355" s="1270"/>
      <c r="G355" s="1270"/>
      <c r="H355" s="1270"/>
      <c r="I355" s="1270"/>
      <c r="J355" s="1270"/>
      <c r="M355" s="173"/>
      <c r="N355" s="173"/>
      <c r="O355" s="181"/>
      <c r="P355" s="181"/>
      <c r="Q355" s="181"/>
      <c r="R355" s="181"/>
      <c r="S355" s="181"/>
      <c r="T355" s="181"/>
      <c r="U355" s="181"/>
    </row>
    <row r="356" spans="2:21" ht="54.75" hidden="1" customHeight="1">
      <c r="B356" s="413"/>
      <c r="C356" s="413"/>
      <c r="D356" s="1270"/>
      <c r="E356" s="1270"/>
      <c r="F356" s="1270"/>
      <c r="G356" s="1270"/>
      <c r="H356" s="1270"/>
      <c r="I356" s="1270"/>
      <c r="J356" s="1270"/>
      <c r="M356" s="173"/>
      <c r="N356" s="173"/>
      <c r="O356" s="181"/>
      <c r="P356" s="181"/>
      <c r="Q356" s="181"/>
      <c r="R356" s="181"/>
      <c r="S356" s="181"/>
      <c r="T356" s="181"/>
      <c r="U356" s="181"/>
    </row>
    <row r="357" spans="2:21" ht="16.5" customHeight="1">
      <c r="B357" s="413"/>
      <c r="C357" s="413"/>
      <c r="D357" s="1270"/>
      <c r="E357" s="1270"/>
      <c r="F357" s="1270"/>
      <c r="G357" s="1270"/>
      <c r="H357" s="1270"/>
      <c r="I357" s="1270"/>
      <c r="J357" s="1270"/>
      <c r="M357" s="173"/>
      <c r="N357" s="173"/>
      <c r="O357" s="181"/>
      <c r="P357" s="181"/>
      <c r="Q357" s="181"/>
      <c r="R357" s="181"/>
      <c r="S357" s="181"/>
      <c r="T357" s="181"/>
      <c r="U357" s="181"/>
    </row>
    <row r="358" spans="2:21" ht="98.25" customHeight="1">
      <c r="B358" s="193" t="s">
        <v>193</v>
      </c>
      <c r="C358" s="413"/>
      <c r="D358" s="1471" t="s">
        <v>763</v>
      </c>
      <c r="E358" s="1472"/>
      <c r="F358" s="1472"/>
      <c r="G358" s="1472"/>
      <c r="H358" s="1472"/>
      <c r="I358" s="1472"/>
      <c r="J358" s="1472"/>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551</v>
      </c>
      <c r="C360" s="416"/>
      <c r="D360" s="1470" t="s">
        <v>597</v>
      </c>
      <c r="E360" s="1470"/>
      <c r="F360" s="1470"/>
      <c r="G360" s="1470"/>
      <c r="H360" s="1470"/>
      <c r="I360" s="1470"/>
      <c r="J360" s="1470"/>
      <c r="K360" s="417"/>
      <c r="M360" s="181"/>
      <c r="N360" s="181"/>
      <c r="O360" s="181"/>
      <c r="P360" s="181"/>
      <c r="Q360" s="181"/>
      <c r="R360" s="181"/>
      <c r="S360" s="181"/>
      <c r="T360" s="181"/>
      <c r="U360" s="181"/>
    </row>
    <row r="361" spans="2:21">
      <c r="B361" s="193"/>
      <c r="C361" s="194"/>
      <c r="D361" s="155" t="s">
        <v>406</v>
      </c>
      <c r="M361" s="181"/>
      <c r="N361" s="181"/>
      <c r="O361" s="181"/>
      <c r="P361" s="181"/>
      <c r="Q361" s="181"/>
      <c r="R361" s="181"/>
      <c r="S361" s="181"/>
      <c r="T361" s="181"/>
      <c r="U361" s="181"/>
    </row>
    <row r="362" spans="2:21">
      <c r="B362" s="193" t="s">
        <v>598</v>
      </c>
      <c r="C362" s="194"/>
      <c r="D362" s="155" t="s">
        <v>599</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600</v>
      </c>
      <c r="C364" s="194"/>
      <c r="D364" s="1470" t="s">
        <v>601</v>
      </c>
      <c r="E364" s="1470"/>
      <c r="F364" s="1470"/>
      <c r="G364" s="1470"/>
      <c r="H364" s="1470"/>
      <c r="I364" s="1470"/>
      <c r="J364" s="1470"/>
      <c r="K364" s="1470"/>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602</v>
      </c>
      <c r="C366" s="173"/>
      <c r="D366" s="1470" t="s">
        <v>606</v>
      </c>
      <c r="E366" s="1470"/>
      <c r="F366" s="1470"/>
      <c r="G366" s="1470"/>
      <c r="H366" s="1470"/>
      <c r="I366" s="1470"/>
      <c r="J366" s="1470"/>
      <c r="K366" s="1470"/>
      <c r="M366" s="181"/>
      <c r="N366" s="181"/>
      <c r="O366" s="181"/>
      <c r="P366" s="181"/>
      <c r="Q366" s="181"/>
      <c r="R366" s="181"/>
      <c r="S366" s="181"/>
      <c r="T366" s="181"/>
      <c r="U366" s="181"/>
    </row>
    <row r="367" spans="2:21">
      <c r="B367" s="1238" t="s">
        <v>639</v>
      </c>
      <c r="C367" s="1239"/>
      <c r="D367" s="1240" t="s">
        <v>640</v>
      </c>
      <c r="E367" s="1241"/>
      <c r="F367" s="1241"/>
      <c r="G367" s="1241"/>
      <c r="H367" s="1022"/>
      <c r="M367" s="181"/>
      <c r="N367" s="181"/>
      <c r="O367" s="181"/>
      <c r="P367" s="181"/>
      <c r="Q367" s="181"/>
      <c r="R367" s="181"/>
      <c r="S367" s="181"/>
      <c r="T367" s="181"/>
      <c r="U367" s="181"/>
    </row>
    <row r="368" spans="2:21">
      <c r="B368" s="1316" t="s">
        <v>809</v>
      </c>
      <c r="C368" s="392"/>
      <c r="D368" s="1469" t="s">
        <v>810</v>
      </c>
      <c r="E368" s="1469"/>
      <c r="F368" s="1469"/>
      <c r="G368" s="1469"/>
      <c r="H368" s="1469"/>
      <c r="I368" s="1469"/>
      <c r="J368" s="1469"/>
      <c r="K368" s="1469"/>
      <c r="M368" s="181"/>
      <c r="N368" s="181"/>
      <c r="O368" s="181"/>
      <c r="P368" s="181"/>
      <c r="Q368" s="181"/>
      <c r="R368" s="181"/>
      <c r="S368" s="181"/>
      <c r="T368" s="181"/>
      <c r="U368" s="181"/>
    </row>
    <row r="369" spans="2:21">
      <c r="B369" s="392"/>
      <c r="C369" s="392"/>
      <c r="D369" s="1469"/>
      <c r="E369" s="1469"/>
      <c r="F369" s="1469"/>
      <c r="G369" s="1469"/>
      <c r="H369" s="1469"/>
      <c r="I369" s="1469"/>
      <c r="J369" s="1469"/>
      <c r="K369" s="1469"/>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 ref="G250:H250"/>
    <mergeCell ref="G231:H231"/>
    <mergeCell ref="D282:K283"/>
    <mergeCell ref="D351:J351"/>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90" zoomScaleNormal="90" zoomScaleSheetLayoutView="70" workbookViewId="0">
      <selection activeCell="F32" sqref="F32"/>
    </sheetView>
  </sheetViews>
  <sheetFormatPr defaultColWidth="11.42578125" defaultRowHeight="12.75"/>
  <cols>
    <col min="1" max="1" width="10.28515625" style="1126" customWidth="1"/>
    <col min="2" max="2" width="52.42578125" style="1077" customWidth="1"/>
    <col min="3" max="3" width="26.7109375" style="1077" bestFit="1" customWidth="1"/>
    <col min="4" max="4" width="25" style="1077" customWidth="1"/>
    <col min="5" max="11" width="20.28515625" style="1077" customWidth="1"/>
    <col min="12" max="12" width="20" style="1077" customWidth="1"/>
    <col min="13" max="14" width="15.140625" style="1077" customWidth="1"/>
    <col min="15" max="16384" width="11.42578125" style="1077"/>
  </cols>
  <sheetData>
    <row r="1" spans="1:12" ht="15">
      <c r="A1" s="1484" t="str">
        <f>TCOS!F5</f>
        <v>AEPTCo subsidiaries in PJM</v>
      </c>
      <c r="B1" s="1484" t="s">
        <v>321</v>
      </c>
      <c r="C1" s="1484" t="s">
        <v>321</v>
      </c>
      <c r="D1" s="1484" t="s">
        <v>321</v>
      </c>
      <c r="E1" s="1484" t="s">
        <v>321</v>
      </c>
      <c r="F1" s="1484" t="s">
        <v>321</v>
      </c>
      <c r="G1" s="1484" t="s">
        <v>321</v>
      </c>
      <c r="H1" s="1076"/>
      <c r="I1" s="1076"/>
    </row>
    <row r="2" spans="1:12" ht="15">
      <c r="A2" s="1485" t="str">
        <f>"Cost of Service Formula Rate Using Actual/Projected FF1 Balances"</f>
        <v>Cost of Service Formula Rate Using Actual/Projected FF1 Balances</v>
      </c>
      <c r="B2" s="1485"/>
      <c r="C2" s="1485"/>
      <c r="D2" s="1485"/>
      <c r="E2" s="1485"/>
      <c r="F2" s="1485"/>
      <c r="G2" s="1485"/>
      <c r="H2" s="1076"/>
      <c r="I2" s="1076"/>
      <c r="J2" s="1076"/>
      <c r="L2" s="1078"/>
    </row>
    <row r="3" spans="1:12" ht="15">
      <c r="A3" s="1485" t="s">
        <v>699</v>
      </c>
      <c r="B3" s="1485"/>
      <c r="C3" s="1485"/>
      <c r="D3" s="1485"/>
      <c r="E3" s="1485"/>
      <c r="F3" s="1485"/>
      <c r="G3" s="1485"/>
      <c r="H3" s="1076"/>
      <c r="I3" s="1076"/>
      <c r="J3" s="1076"/>
    </row>
    <row r="4" spans="1:12" ht="15">
      <c r="A4" s="1491" t="str">
        <f>TCOS!F9</f>
        <v>AEP Appalachian Transmission Company</v>
      </c>
      <c r="B4" s="1491"/>
      <c r="C4" s="1491"/>
      <c r="D4" s="1491"/>
      <c r="E4" s="1491"/>
      <c r="F4" s="1491"/>
      <c r="G4" s="1491"/>
      <c r="H4" s="1076"/>
      <c r="I4" s="1076"/>
      <c r="J4" s="1076"/>
    </row>
    <row r="5" spans="1:12">
      <c r="A5" s="1076"/>
      <c r="B5" s="1079"/>
      <c r="C5" s="1079"/>
      <c r="D5" s="1079"/>
      <c r="E5" s="1080"/>
      <c r="F5" s="1081"/>
      <c r="H5" s="1081"/>
      <c r="J5" s="1081"/>
      <c r="L5" s="1081"/>
    </row>
    <row r="6" spans="1:12" ht="12.75" customHeight="1">
      <c r="A6" s="1076"/>
      <c r="B6" s="1079"/>
      <c r="C6" s="1486" t="s">
        <v>700</v>
      </c>
      <c r="D6" s="1487"/>
      <c r="E6" s="1487"/>
      <c r="F6" s="1487"/>
      <c r="G6" s="1488"/>
      <c r="H6" s="1082"/>
      <c r="I6" s="1082"/>
      <c r="J6" s="1082"/>
      <c r="K6" s="1082"/>
      <c r="L6" s="4"/>
    </row>
    <row r="7" spans="1:12" s="1087" customFormat="1" ht="25.5">
      <c r="A7" s="1083" t="s">
        <v>701</v>
      </c>
      <c r="B7" s="1084" t="s">
        <v>702</v>
      </c>
      <c r="C7" s="1085" t="s">
        <v>407</v>
      </c>
      <c r="D7" s="1085" t="s">
        <v>703</v>
      </c>
      <c r="E7" s="1085" t="s">
        <v>128</v>
      </c>
      <c r="F7" s="1085" t="s">
        <v>704</v>
      </c>
      <c r="G7" s="1084" t="s">
        <v>705</v>
      </c>
      <c r="H7" s="7"/>
      <c r="I7" s="1086"/>
      <c r="J7" s="1086"/>
      <c r="K7" s="1086"/>
      <c r="L7" s="4"/>
    </row>
    <row r="8" spans="1:12" s="1092" customFormat="1">
      <c r="A8" s="1088"/>
      <c r="B8" s="1089" t="s">
        <v>706</v>
      </c>
      <c r="C8" s="1090" t="s">
        <v>707</v>
      </c>
      <c r="D8" s="1090" t="s">
        <v>708</v>
      </c>
      <c r="E8" s="1090" t="s">
        <v>709</v>
      </c>
      <c r="F8" s="1090" t="s">
        <v>710</v>
      </c>
      <c r="G8" s="1091" t="s">
        <v>711</v>
      </c>
      <c r="H8"/>
      <c r="L8" s="4"/>
    </row>
    <row r="9" spans="1:12" s="1092" customFormat="1" ht="44.25" customHeight="1">
      <c r="A9" s="1088"/>
      <c r="B9" s="1089" t="s">
        <v>712</v>
      </c>
      <c r="C9" s="1093" t="s">
        <v>223</v>
      </c>
      <c r="D9" s="1093" t="s">
        <v>224</v>
      </c>
      <c r="E9" s="1093" t="s">
        <v>225</v>
      </c>
      <c r="F9" s="1093" t="s">
        <v>226</v>
      </c>
      <c r="G9" s="1094" t="s">
        <v>227</v>
      </c>
      <c r="H9"/>
      <c r="L9" s="4"/>
    </row>
    <row r="10" spans="1:12">
      <c r="A10" s="1088">
        <v>1</v>
      </c>
      <c r="B10" s="1095" t="s">
        <v>713</v>
      </c>
      <c r="C10" s="1443">
        <v>148934537.957609</v>
      </c>
      <c r="D10" s="1449"/>
      <c r="E10" s="1446">
        <v>703875.31239978399</v>
      </c>
      <c r="F10" s="1449"/>
      <c r="G10" s="1411">
        <v>1608984.3149409201</v>
      </c>
      <c r="H10"/>
      <c r="L10" s="4"/>
    </row>
    <row r="11" spans="1:12">
      <c r="A11" s="1088">
        <f>+A10+1</f>
        <v>2</v>
      </c>
      <c r="B11" s="1095" t="s">
        <v>566</v>
      </c>
      <c r="C11" s="1444">
        <v>149471775.68994701</v>
      </c>
      <c r="D11" s="1450"/>
      <c r="E11" s="1447">
        <v>712325.59068110702</v>
      </c>
      <c r="F11" s="1450"/>
      <c r="G11" s="1412">
        <v>1631564.24553537</v>
      </c>
      <c r="H11"/>
      <c r="L11" s="4"/>
    </row>
    <row r="12" spans="1:12">
      <c r="A12" s="1088">
        <f t="shared" ref="A12:A23" si="0">+A11+1</f>
        <v>3</v>
      </c>
      <c r="B12" s="1097" t="s">
        <v>567</v>
      </c>
      <c r="C12" s="1444">
        <v>149619512.350297</v>
      </c>
      <c r="D12" s="1450"/>
      <c r="E12" s="1447">
        <v>725358.30143490108</v>
      </c>
      <c r="F12" s="1450"/>
      <c r="G12" s="1412">
        <v>1659229.41930914</v>
      </c>
      <c r="H12"/>
      <c r="L12" s="4"/>
    </row>
    <row r="13" spans="1:12">
      <c r="A13" s="1088">
        <f t="shared" si="0"/>
        <v>4</v>
      </c>
      <c r="B13" s="1097" t="s">
        <v>714</v>
      </c>
      <c r="C13" s="1444">
        <v>149853093.73778701</v>
      </c>
      <c r="D13" s="1450"/>
      <c r="E13" s="1447">
        <v>741753.706083411</v>
      </c>
      <c r="F13" s="1450"/>
      <c r="G13" s="1412">
        <v>1689748.9750188799</v>
      </c>
      <c r="H13"/>
      <c r="L13" s="4"/>
    </row>
    <row r="14" spans="1:12">
      <c r="A14" s="1088">
        <f t="shared" si="0"/>
        <v>5</v>
      </c>
      <c r="B14" s="1097" t="s">
        <v>569</v>
      </c>
      <c r="C14" s="1444">
        <v>150426860.52276</v>
      </c>
      <c r="D14" s="1450"/>
      <c r="E14" s="1447">
        <v>752869.23246853997</v>
      </c>
      <c r="F14" s="1450"/>
      <c r="G14" s="1412">
        <v>1710414.9508992</v>
      </c>
      <c r="H14"/>
      <c r="L14" s="4"/>
    </row>
    <row r="15" spans="1:12">
      <c r="A15" s="1088">
        <f t="shared" si="0"/>
        <v>6</v>
      </c>
      <c r="B15" s="1097" t="s">
        <v>570</v>
      </c>
      <c r="C15" s="1444">
        <v>150689910.07407498</v>
      </c>
      <c r="D15" s="1450"/>
      <c r="E15" s="1447">
        <v>762463.70426761999</v>
      </c>
      <c r="F15" s="1450"/>
      <c r="G15" s="1412">
        <v>1728577.5407147501</v>
      </c>
      <c r="H15"/>
      <c r="L15" s="4"/>
    </row>
    <row r="16" spans="1:12">
      <c r="A16" s="1088">
        <f t="shared" si="0"/>
        <v>7</v>
      </c>
      <c r="B16" s="1097" t="s">
        <v>571</v>
      </c>
      <c r="C16" s="1444">
        <v>150792096.56869599</v>
      </c>
      <c r="D16" s="1450"/>
      <c r="E16" s="1447">
        <v>771752.22820525803</v>
      </c>
      <c r="F16" s="1450"/>
      <c r="G16" s="1412">
        <v>1745895.4349210302</v>
      </c>
      <c r="H16"/>
      <c r="L16" s="4"/>
    </row>
    <row r="17" spans="1:12">
      <c r="A17" s="1088">
        <f t="shared" si="0"/>
        <v>8</v>
      </c>
      <c r="B17" s="1097" t="s">
        <v>572</v>
      </c>
      <c r="C17" s="1444">
        <v>150845413.208505</v>
      </c>
      <c r="D17" s="1450"/>
      <c r="E17" s="1447">
        <v>781740.80954286002</v>
      </c>
      <c r="F17" s="1450"/>
      <c r="G17" s="1412">
        <v>1765451.38377127</v>
      </c>
      <c r="H17"/>
      <c r="L17" s="4"/>
    </row>
    <row r="18" spans="1:12">
      <c r="A18" s="1088">
        <f t="shared" si="0"/>
        <v>9</v>
      </c>
      <c r="B18" s="1097" t="s">
        <v>715</v>
      </c>
      <c r="C18" s="1444">
        <v>150909105.89275599</v>
      </c>
      <c r="D18" s="1450"/>
      <c r="E18" s="1447">
        <v>792416.38457299094</v>
      </c>
      <c r="F18" s="1450"/>
      <c r="G18" s="1412">
        <v>1786358.8919544099</v>
      </c>
      <c r="H18"/>
      <c r="L18" s="4"/>
    </row>
    <row r="19" spans="1:12">
      <c r="A19" s="1088">
        <f t="shared" si="0"/>
        <v>10</v>
      </c>
      <c r="B19" s="1097" t="s">
        <v>574</v>
      </c>
      <c r="C19" s="1444">
        <v>150982408.06220299</v>
      </c>
      <c r="D19" s="1450"/>
      <c r="E19" s="1447">
        <v>803842.63447498402</v>
      </c>
      <c r="F19" s="1450"/>
      <c r="G19" s="1412">
        <v>1808775.38464175</v>
      </c>
      <c r="H19"/>
      <c r="L19" s="4"/>
    </row>
    <row r="20" spans="1:12">
      <c r="A20" s="1088">
        <f t="shared" si="0"/>
        <v>11</v>
      </c>
      <c r="B20" s="1097" t="s">
        <v>575</v>
      </c>
      <c r="C20" s="1444">
        <v>152994168.63059899</v>
      </c>
      <c r="D20" s="1450"/>
      <c r="E20" s="1447">
        <v>816175.613675136</v>
      </c>
      <c r="F20" s="1450"/>
      <c r="G20" s="1412">
        <v>1832686.12664564</v>
      </c>
      <c r="H20"/>
      <c r="L20" s="4"/>
    </row>
    <row r="21" spans="1:12">
      <c r="A21" s="1088">
        <f t="shared" si="0"/>
        <v>12</v>
      </c>
      <c r="B21" s="1097" t="s">
        <v>576</v>
      </c>
      <c r="C21" s="1444">
        <v>153256083.73714098</v>
      </c>
      <c r="D21" s="1450"/>
      <c r="E21" s="1447">
        <v>829006.64904938499</v>
      </c>
      <c r="F21" s="1450"/>
      <c r="G21" s="1412">
        <v>1857138.7363861098</v>
      </c>
      <c r="H21"/>
      <c r="L21" s="4"/>
    </row>
    <row r="22" spans="1:12">
      <c r="A22" s="1098">
        <f t="shared" si="0"/>
        <v>13</v>
      </c>
      <c r="B22" s="1099" t="s">
        <v>716</v>
      </c>
      <c r="C22" s="1445">
        <v>153480322.199783</v>
      </c>
      <c r="D22" s="1451"/>
      <c r="E22" s="1448">
        <v>842867.61683365598</v>
      </c>
      <c r="F22" s="1451"/>
      <c r="G22" s="1452">
        <v>1886265.89824994</v>
      </c>
      <c r="H22"/>
      <c r="L22" s="4"/>
    </row>
    <row r="23" spans="1:12" ht="13.5" thickBot="1">
      <c r="A23" s="1098">
        <f t="shared" si="0"/>
        <v>14</v>
      </c>
      <c r="B23" s="1100" t="s">
        <v>717</v>
      </c>
      <c r="C23" s="1101">
        <f>SUM(C10:C22)/13</f>
        <v>150942714.51016599</v>
      </c>
      <c r="D23" s="1101">
        <f t="shared" ref="D23:G23" si="1">SUM(D10:D22)/13</f>
        <v>0</v>
      </c>
      <c r="E23" s="1101">
        <f t="shared" si="1"/>
        <v>772034.44489920256</v>
      </c>
      <c r="F23" s="1101">
        <f t="shared" si="1"/>
        <v>0</v>
      </c>
      <c r="G23" s="1101">
        <f t="shared" si="1"/>
        <v>1747007.0233068008</v>
      </c>
      <c r="H23" s="1453"/>
      <c r="L23" s="4"/>
    </row>
    <row r="24" spans="1:12" ht="13.5" thickTop="1">
      <c r="A24" s="1076"/>
      <c r="B24" s="1103"/>
      <c r="C24" s="1104"/>
      <c r="D24" s="1105"/>
      <c r="E24" s="1105"/>
      <c r="F24" s="1105"/>
      <c r="G24" s="1104"/>
      <c r="H24" s="1104"/>
      <c r="I24" s="1104"/>
      <c r="J24" s="4"/>
      <c r="K24" s="4"/>
      <c r="L24" s="4"/>
    </row>
    <row r="25" spans="1:12" ht="12.75" customHeight="1">
      <c r="A25" s="1076"/>
      <c r="B25" s="1079"/>
      <c r="C25" s="1489" t="s">
        <v>718</v>
      </c>
      <c r="D25" s="1490"/>
      <c r="E25" s="1490"/>
      <c r="F25" s="1490"/>
      <c r="G25" s="1490"/>
      <c r="H25"/>
      <c r="I25"/>
      <c r="J25"/>
      <c r="K25"/>
      <c r="L25" s="4"/>
    </row>
    <row r="26" spans="1:12" s="1087" customFormat="1" ht="25.5">
      <c r="A26" s="1083" t="s">
        <v>701</v>
      </c>
      <c r="B26" s="1084" t="s">
        <v>702</v>
      </c>
      <c r="C26" s="1085" t="s">
        <v>407</v>
      </c>
      <c r="D26" s="1085" t="s">
        <v>703</v>
      </c>
      <c r="E26" s="1085" t="s">
        <v>128</v>
      </c>
      <c r="F26" s="1085" t="s">
        <v>704</v>
      </c>
      <c r="G26" s="1106" t="s">
        <v>705</v>
      </c>
      <c r="H26"/>
      <c r="I26"/>
      <c r="J26"/>
      <c r="K26"/>
      <c r="L26" s="4"/>
    </row>
    <row r="27" spans="1:12" s="1092" customFormat="1">
      <c r="A27" s="1088"/>
      <c r="B27" s="1089" t="s">
        <v>706</v>
      </c>
      <c r="C27" s="1090" t="s">
        <v>707</v>
      </c>
      <c r="D27" s="1090" t="s">
        <v>708</v>
      </c>
      <c r="E27" s="1090" t="s">
        <v>709</v>
      </c>
      <c r="F27" s="1090" t="s">
        <v>710</v>
      </c>
      <c r="G27" s="1091" t="s">
        <v>711</v>
      </c>
      <c r="H27"/>
      <c r="I27"/>
      <c r="J27"/>
      <c r="K27"/>
      <c r="L27" s="4"/>
    </row>
    <row r="28" spans="1:12" s="1092" customFormat="1" ht="44.25" customHeight="1">
      <c r="A28" s="1088"/>
      <c r="B28" s="1089" t="s">
        <v>712</v>
      </c>
      <c r="C28" s="1093" t="s">
        <v>172</v>
      </c>
      <c r="D28" s="1093" t="str">
        <f>"Company Records (Included in total in Column "&amp;C27&amp;")"</f>
        <v>Company Records (Included in total in Column (d))</v>
      </c>
      <c r="E28" s="1093" t="s">
        <v>8</v>
      </c>
      <c r="F28" s="1093" t="str">
        <f>"Company Records (Included in total in Column "&amp;E27&amp;")"</f>
        <v>Company Records (Included in total in Column (h))</v>
      </c>
      <c r="G28" s="1094" t="s">
        <v>294</v>
      </c>
      <c r="H28"/>
      <c r="I28"/>
      <c r="J28"/>
      <c r="K28"/>
      <c r="L28" s="4"/>
    </row>
    <row r="29" spans="1:12">
      <c r="A29" s="1088">
        <f>+A23+1</f>
        <v>15</v>
      </c>
      <c r="B29" s="1095" t="s">
        <v>713</v>
      </c>
      <c r="C29" s="1176">
        <v>13192735.284558399</v>
      </c>
      <c r="D29" s="1096"/>
      <c r="E29" s="1411">
        <v>40687.134660653697</v>
      </c>
      <c r="F29" s="1096"/>
      <c r="G29" s="1411">
        <v>816827.65835867892</v>
      </c>
      <c r="H29"/>
      <c r="I29"/>
      <c r="J29"/>
      <c r="K29"/>
      <c r="L29" s="4"/>
    </row>
    <row r="30" spans="1:12">
      <c r="A30" s="1088">
        <f>+A29+1</f>
        <v>16</v>
      </c>
      <c r="B30" s="1095" t="s">
        <v>566</v>
      </c>
      <c r="C30" s="1176">
        <v>13517474.894208999</v>
      </c>
      <c r="D30" s="1299"/>
      <c r="E30" s="1412">
        <v>43623.550491916496</v>
      </c>
      <c r="F30" s="1299"/>
      <c r="G30" s="1412">
        <v>842773.75623894401</v>
      </c>
      <c r="H30"/>
      <c r="I30"/>
      <c r="J30"/>
      <c r="K30"/>
      <c r="L30" s="4"/>
    </row>
    <row r="31" spans="1:12">
      <c r="A31" s="1088">
        <f t="shared" ref="A31:A42" si="2">+A30+1</f>
        <v>17</v>
      </c>
      <c r="B31" s="1097" t="s">
        <v>567</v>
      </c>
      <c r="C31" s="1176">
        <v>13843428.496665198</v>
      </c>
      <c r="D31" s="1299"/>
      <c r="E31" s="1412">
        <v>46578.204840469902</v>
      </c>
      <c r="F31" s="1299"/>
      <c r="G31" s="1412">
        <v>869096.18629578303</v>
      </c>
      <c r="H31"/>
      <c r="I31"/>
      <c r="J31"/>
      <c r="K31"/>
      <c r="L31" s="4"/>
    </row>
    <row r="32" spans="1:12">
      <c r="A32" s="1088">
        <f t="shared" si="2"/>
        <v>18</v>
      </c>
      <c r="B32" s="1097" t="s">
        <v>714</v>
      </c>
      <c r="C32" s="1176">
        <v>14169711.479763901</v>
      </c>
      <c r="D32" s="1299"/>
      <c r="E32" s="1412">
        <v>49560.988123066898</v>
      </c>
      <c r="F32" s="1299"/>
      <c r="G32" s="1412">
        <v>895879.70258218609</v>
      </c>
      <c r="H32"/>
      <c r="I32"/>
      <c r="J32"/>
      <c r="K32"/>
      <c r="L32" s="4"/>
    </row>
    <row r="33" spans="1:12">
      <c r="A33" s="1088">
        <f t="shared" si="2"/>
        <v>19</v>
      </c>
      <c r="B33" s="1097" t="s">
        <v>569</v>
      </c>
      <c r="C33" s="1176">
        <v>14496525.838276701</v>
      </c>
      <c r="D33" s="1299"/>
      <c r="E33" s="1412">
        <v>52579.158154030301</v>
      </c>
      <c r="F33" s="1299"/>
      <c r="G33" s="1412">
        <v>923171.87813041697</v>
      </c>
      <c r="H33"/>
      <c r="I33"/>
      <c r="J33"/>
      <c r="K33"/>
      <c r="L33" s="4"/>
    </row>
    <row r="34" spans="1:12">
      <c r="A34" s="1088">
        <f t="shared" si="2"/>
        <v>20</v>
      </c>
      <c r="B34" s="1097" t="s">
        <v>570</v>
      </c>
      <c r="C34" s="1176">
        <v>14824653.355247699</v>
      </c>
      <c r="D34" s="1299"/>
      <c r="E34" s="1412">
        <v>55621.319196108205</v>
      </c>
      <c r="F34" s="1299"/>
      <c r="G34" s="1412">
        <v>950808.48660998698</v>
      </c>
      <c r="H34"/>
      <c r="I34"/>
      <c r="J34"/>
      <c r="K34"/>
      <c r="L34" s="4"/>
    </row>
    <row r="35" spans="1:12">
      <c r="A35" s="1088">
        <f t="shared" si="2"/>
        <v>21</v>
      </c>
      <c r="B35" s="1097" t="s">
        <v>571</v>
      </c>
      <c r="C35" s="1176">
        <v>15165504.9781716</v>
      </c>
      <c r="D35" s="1299"/>
      <c r="E35" s="1412">
        <v>58610.924714172099</v>
      </c>
      <c r="F35" s="1299"/>
      <c r="G35" s="1412">
        <v>978747.80491981702</v>
      </c>
      <c r="H35"/>
      <c r="I35"/>
      <c r="J35"/>
      <c r="K35"/>
      <c r="L35" s="4"/>
    </row>
    <row r="36" spans="1:12">
      <c r="A36" s="1088">
        <f t="shared" si="2"/>
        <v>22</v>
      </c>
      <c r="B36" s="1097" t="s">
        <v>572</v>
      </c>
      <c r="C36" s="1176">
        <v>15506591.5485925</v>
      </c>
      <c r="D36" s="1299"/>
      <c r="E36" s="1412">
        <v>61616.630340394498</v>
      </c>
      <c r="F36" s="1299"/>
      <c r="G36" s="1412">
        <v>1006012.24496641</v>
      </c>
      <c r="H36"/>
      <c r="I36"/>
      <c r="J36"/>
      <c r="K36"/>
      <c r="L36" s="4"/>
    </row>
    <row r="37" spans="1:12">
      <c r="A37" s="1088">
        <f t="shared" si="2"/>
        <v>23</v>
      </c>
      <c r="B37" s="1097" t="s">
        <v>715</v>
      </c>
      <c r="C37" s="1176">
        <v>15847800.5078959</v>
      </c>
      <c r="D37" s="1299"/>
      <c r="E37" s="1412">
        <v>64639.649507602102</v>
      </c>
      <c r="F37" s="1299"/>
      <c r="G37" s="1412">
        <v>1033602.6174938499</v>
      </c>
      <c r="H37"/>
      <c r="I37"/>
      <c r="J37"/>
      <c r="K37"/>
      <c r="L37" s="4"/>
    </row>
    <row r="38" spans="1:12">
      <c r="A38" s="1088">
        <f t="shared" si="2"/>
        <v>24</v>
      </c>
      <c r="B38" s="1097" t="s">
        <v>574</v>
      </c>
      <c r="C38" s="1176">
        <v>16189154.455679599</v>
      </c>
      <c r="D38" s="1299"/>
      <c r="E38" s="1412">
        <v>67681.173004862008</v>
      </c>
      <c r="F38" s="1299"/>
      <c r="G38" s="1412">
        <v>1061541.4484910099</v>
      </c>
      <c r="H38"/>
      <c r="I38"/>
      <c r="J38"/>
      <c r="K38"/>
      <c r="L38" s="4"/>
    </row>
    <row r="39" spans="1:12">
      <c r="A39" s="1088">
        <f t="shared" si="2"/>
        <v>25</v>
      </c>
      <c r="B39" s="1097" t="s">
        <v>575</v>
      </c>
      <c r="C39" s="1176">
        <v>16530676.5532947</v>
      </c>
      <c r="D39" s="1299"/>
      <c r="E39" s="1412">
        <v>70742.502001952002</v>
      </c>
      <c r="F39" s="1299"/>
      <c r="G39" s="1412">
        <v>1089853.8876996199</v>
      </c>
      <c r="H39"/>
      <c r="I39"/>
      <c r="J39"/>
      <c r="K39"/>
      <c r="L39" s="4"/>
    </row>
    <row r="40" spans="1:12">
      <c r="A40" s="1088">
        <f t="shared" si="2"/>
        <v>26</v>
      </c>
      <c r="B40" s="1097" t="s">
        <v>576</v>
      </c>
      <c r="C40" s="1176">
        <v>16876872.287581701</v>
      </c>
      <c r="D40" s="1299"/>
      <c r="E40" s="1412">
        <v>73825.2081629889</v>
      </c>
      <c r="F40" s="1299"/>
      <c r="G40" s="1412">
        <v>1118564.8392749599</v>
      </c>
      <c r="H40"/>
      <c r="I40"/>
      <c r="J40"/>
      <c r="K40"/>
      <c r="L40" s="4"/>
    </row>
    <row r="41" spans="1:12">
      <c r="A41" s="1098">
        <f t="shared" si="2"/>
        <v>27</v>
      </c>
      <c r="B41" s="1099" t="s">
        <v>716</v>
      </c>
      <c r="C41" s="1176">
        <v>17223672.060562104</v>
      </c>
      <c r="D41" s="1096"/>
      <c r="E41" s="1452">
        <v>76930.154785341205</v>
      </c>
      <c r="F41" s="1096"/>
      <c r="G41" s="1452">
        <v>1147683.3343459801</v>
      </c>
      <c r="H41"/>
      <c r="I41"/>
      <c r="J41"/>
      <c r="K41"/>
      <c r="L41" s="4"/>
    </row>
    <row r="42" spans="1:12" ht="13.5" thickBot="1">
      <c r="A42" s="1107">
        <f t="shared" si="2"/>
        <v>28</v>
      </c>
      <c r="B42" s="1108" t="s">
        <v>717</v>
      </c>
      <c r="C42" s="1101">
        <f t="shared" ref="C42:G42" si="3">SUM(C29:C41)/13</f>
        <v>15183446.287730694</v>
      </c>
      <c r="D42" s="1101">
        <f t="shared" si="3"/>
        <v>0</v>
      </c>
      <c r="E42" s="1101">
        <f t="shared" si="3"/>
        <v>58668.96907565833</v>
      </c>
      <c r="F42" s="1101">
        <f t="shared" si="3"/>
        <v>0</v>
      </c>
      <c r="G42" s="1101">
        <f t="shared" si="3"/>
        <v>979581.83426212636</v>
      </c>
      <c r="H42"/>
      <c r="I42"/>
      <c r="J42"/>
      <c r="K42"/>
      <c r="L42" s="4"/>
    </row>
    <row r="43" spans="1:12" ht="13.5" thickTop="1">
      <c r="A43" s="1076"/>
      <c r="B43" s="1103"/>
      <c r="C43" s="1104"/>
      <c r="D43" s="1105"/>
      <c r="E43" s="1105"/>
      <c r="F43" s="1105"/>
      <c r="G43" s="1104"/>
      <c r="H43"/>
      <c r="I43"/>
      <c r="J43"/>
      <c r="K43"/>
      <c r="L43" s="4"/>
    </row>
    <row r="44" spans="1:12">
      <c r="A44" s="1076"/>
      <c r="B44" s="1103"/>
      <c r="C44" s="1104"/>
      <c r="D44" s="1105"/>
      <c r="E44" s="1105"/>
      <c r="F44" s="1105"/>
      <c r="G44" s="1104"/>
      <c r="H44" s="1104"/>
      <c r="I44" s="1104"/>
    </row>
    <row r="45" spans="1:12">
      <c r="A45" s="1109"/>
      <c r="B45" s="1110"/>
      <c r="C45" s="1111"/>
      <c r="D45" s="1112"/>
      <c r="E45" s="1112"/>
      <c r="F45" s="1157"/>
    </row>
    <row r="46" spans="1:12" ht="72" customHeight="1">
      <c r="A46" s="1113" t="s">
        <v>701</v>
      </c>
      <c r="B46" s="1090" t="s">
        <v>702</v>
      </c>
      <c r="C46" s="1114" t="s">
        <v>720</v>
      </c>
      <c r="D46" s="1085" t="s">
        <v>721</v>
      </c>
      <c r="E46" s="1085" t="s">
        <v>722</v>
      </c>
      <c r="F46" s="1106" t="s">
        <v>723</v>
      </c>
    </row>
    <row r="47" spans="1:12" s="1092" customFormat="1">
      <c r="A47" s="1088"/>
      <c r="B47" s="1090" t="s">
        <v>706</v>
      </c>
      <c r="C47" s="1115" t="s">
        <v>724</v>
      </c>
      <c r="D47" s="1090" t="s">
        <v>725</v>
      </c>
      <c r="E47" s="1090" t="s">
        <v>707</v>
      </c>
      <c r="F47" s="1089" t="s">
        <v>708</v>
      </c>
    </row>
    <row r="48" spans="1:12" s="1092" customFormat="1" ht="51">
      <c r="A48" s="1088"/>
      <c r="B48" s="1090" t="s">
        <v>712</v>
      </c>
      <c r="C48" s="1116" t="str">
        <f>"Company Records (included in total in column "&amp;C8&amp;" of gross plant above)"</f>
        <v>Company Records (included in total in column (d) of gross plant above)</v>
      </c>
      <c r="D48" s="1116" t="str">
        <f>"Company Records (included in total in column "&amp;C27&amp;" of accumulated depreciation above)"</f>
        <v>Company Records (included in total in column (d) of accumulated depreciation above)</v>
      </c>
      <c r="E48" s="1117" t="s">
        <v>719</v>
      </c>
      <c r="F48" s="1158" t="s">
        <v>719</v>
      </c>
    </row>
    <row r="49" spans="1:11">
      <c r="A49" s="1088">
        <f>+A42+1</f>
        <v>29</v>
      </c>
      <c r="B49" s="1118" t="s">
        <v>713</v>
      </c>
      <c r="C49" s="1119">
        <v>0</v>
      </c>
      <c r="D49" s="1096">
        <v>0</v>
      </c>
      <c r="E49" s="1096">
        <v>0</v>
      </c>
      <c r="F49" s="1159">
        <v>0</v>
      </c>
    </row>
    <row r="50" spans="1:11">
      <c r="A50" s="1088">
        <f>+A49+1</f>
        <v>30</v>
      </c>
      <c r="B50" s="1118" t="s">
        <v>566</v>
      </c>
      <c r="C50" s="1300">
        <v>0</v>
      </c>
      <c r="D50" s="1299">
        <v>0</v>
      </c>
      <c r="E50" s="1299">
        <v>0</v>
      </c>
      <c r="F50" s="1159">
        <v>0</v>
      </c>
    </row>
    <row r="51" spans="1:11">
      <c r="A51" s="1088">
        <f t="shared" ref="A51:A62" si="4">+A50+1</f>
        <v>31</v>
      </c>
      <c r="B51" s="1120" t="s">
        <v>567</v>
      </c>
      <c r="C51" s="1300">
        <v>0</v>
      </c>
      <c r="D51" s="1299">
        <v>0</v>
      </c>
      <c r="E51" s="1299">
        <v>0</v>
      </c>
      <c r="F51" s="1159">
        <v>0</v>
      </c>
    </row>
    <row r="52" spans="1:11">
      <c r="A52" s="1088">
        <f t="shared" si="4"/>
        <v>32</v>
      </c>
      <c r="B52" s="1120" t="s">
        <v>714</v>
      </c>
      <c r="C52" s="1300">
        <v>0</v>
      </c>
      <c r="D52" s="1299">
        <v>0</v>
      </c>
      <c r="E52" s="1299">
        <v>0</v>
      </c>
      <c r="F52" s="1159">
        <v>0</v>
      </c>
    </row>
    <row r="53" spans="1:11">
      <c r="A53" s="1088">
        <f t="shared" si="4"/>
        <v>33</v>
      </c>
      <c r="B53" s="1120" t="s">
        <v>569</v>
      </c>
      <c r="C53" s="1300">
        <v>0</v>
      </c>
      <c r="D53" s="1299">
        <v>0</v>
      </c>
      <c r="E53" s="1299">
        <v>0</v>
      </c>
      <c r="F53" s="1159">
        <v>0</v>
      </c>
    </row>
    <row r="54" spans="1:11">
      <c r="A54" s="1088">
        <f t="shared" si="4"/>
        <v>34</v>
      </c>
      <c r="B54" s="1120" t="s">
        <v>570</v>
      </c>
      <c r="C54" s="1300">
        <v>0</v>
      </c>
      <c r="D54" s="1299">
        <v>0</v>
      </c>
      <c r="E54" s="1299">
        <v>0</v>
      </c>
      <c r="F54" s="1159">
        <v>0</v>
      </c>
    </row>
    <row r="55" spans="1:11">
      <c r="A55" s="1088">
        <f t="shared" si="4"/>
        <v>35</v>
      </c>
      <c r="B55" s="1120" t="s">
        <v>571</v>
      </c>
      <c r="C55" s="1300">
        <v>0</v>
      </c>
      <c r="D55" s="1299">
        <v>0</v>
      </c>
      <c r="E55" s="1299">
        <v>0</v>
      </c>
      <c r="F55" s="1159">
        <v>0</v>
      </c>
    </row>
    <row r="56" spans="1:11">
      <c r="A56" s="1088">
        <f t="shared" si="4"/>
        <v>36</v>
      </c>
      <c r="B56" s="1120" t="s">
        <v>572</v>
      </c>
      <c r="C56" s="1300">
        <v>0</v>
      </c>
      <c r="D56" s="1299">
        <v>0</v>
      </c>
      <c r="E56" s="1299">
        <v>0</v>
      </c>
      <c r="F56" s="1159">
        <v>0</v>
      </c>
    </row>
    <row r="57" spans="1:11">
      <c r="A57" s="1088">
        <f t="shared" si="4"/>
        <v>37</v>
      </c>
      <c r="B57" s="1120" t="s">
        <v>715</v>
      </c>
      <c r="C57" s="1300">
        <v>0</v>
      </c>
      <c r="D57" s="1299">
        <v>0</v>
      </c>
      <c r="E57" s="1299">
        <v>0</v>
      </c>
      <c r="F57" s="1159">
        <v>0</v>
      </c>
    </row>
    <row r="58" spans="1:11">
      <c r="A58" s="1088">
        <f t="shared" si="4"/>
        <v>38</v>
      </c>
      <c r="B58" s="1120" t="s">
        <v>574</v>
      </c>
      <c r="C58" s="1300">
        <v>0</v>
      </c>
      <c r="D58" s="1299">
        <v>0</v>
      </c>
      <c r="E58" s="1299">
        <v>0</v>
      </c>
      <c r="F58" s="1159">
        <v>0</v>
      </c>
    </row>
    <row r="59" spans="1:11">
      <c r="A59" s="1088">
        <f t="shared" si="4"/>
        <v>39</v>
      </c>
      <c r="B59" s="1120" t="s">
        <v>575</v>
      </c>
      <c r="C59" s="1300">
        <v>0</v>
      </c>
      <c r="D59" s="1299">
        <v>0</v>
      </c>
      <c r="E59" s="1299">
        <v>0</v>
      </c>
      <c r="F59" s="1159">
        <v>0</v>
      </c>
    </row>
    <row r="60" spans="1:11">
      <c r="A60" s="1088">
        <f t="shared" si="4"/>
        <v>40</v>
      </c>
      <c r="B60" s="1120" t="s">
        <v>576</v>
      </c>
      <c r="C60" s="1300">
        <v>0</v>
      </c>
      <c r="D60" s="1299">
        <v>0</v>
      </c>
      <c r="E60" s="1299">
        <v>0</v>
      </c>
      <c r="F60" s="1159">
        <v>0</v>
      </c>
    </row>
    <row r="61" spans="1:11">
      <c r="A61" s="1098">
        <f t="shared" si="4"/>
        <v>41</v>
      </c>
      <c r="B61" s="1121" t="s">
        <v>716</v>
      </c>
      <c r="C61" s="1122">
        <v>0</v>
      </c>
      <c r="D61" s="1096">
        <v>0</v>
      </c>
      <c r="E61" s="1096">
        <v>0</v>
      </c>
      <c r="F61" s="1159">
        <v>0</v>
      </c>
    </row>
    <row r="62" spans="1:11" ht="13.5" thickBot="1">
      <c r="A62" s="1123">
        <f t="shared" si="4"/>
        <v>42</v>
      </c>
      <c r="B62" s="1108" t="s">
        <v>717</v>
      </c>
      <c r="C62" s="1101">
        <f>SUM(C49:C61)/13</f>
        <v>0</v>
      </c>
      <c r="D62" s="1101">
        <f>SUM(D49:D61)/13</f>
        <v>0</v>
      </c>
      <c r="E62" s="1101">
        <f>SUM(E49:E61)/13</f>
        <v>0</v>
      </c>
      <c r="F62" s="1102">
        <f>SUM(F49:F61)/13</f>
        <v>0</v>
      </c>
    </row>
    <row r="63" spans="1:11" ht="13.5" thickTop="1">
      <c r="A63" s="1076"/>
      <c r="B63" s="1103"/>
      <c r="I63" s="1105"/>
      <c r="K63" s="4"/>
    </row>
    <row r="64" spans="1:11">
      <c r="A64" s="1076">
        <v>43</v>
      </c>
      <c r="B64" s="1483" t="s">
        <v>983</v>
      </c>
      <c r="C64" s="1125">
        <f>+C42-D62-F62</f>
        <v>15183446.287730694</v>
      </c>
      <c r="I64" s="1105"/>
      <c r="K64" s="4"/>
    </row>
    <row r="65" spans="1:6" customFormat="1">
      <c r="B65" s="1483"/>
    </row>
    <row r="66" spans="1:6" customFormat="1"/>
    <row r="67" spans="1:6" customFormat="1" ht="25.5">
      <c r="A67" s="1127" t="s">
        <v>322</v>
      </c>
      <c r="B67" s="1128"/>
      <c r="C67" s="1129" t="s">
        <v>320</v>
      </c>
      <c r="D67" s="1130" t="str">
        <f>"Balance @ December 31, "&amp;TCOS!L4&amp;""</f>
        <v>Balance @ December 31, 2025</v>
      </c>
      <c r="E67" s="1131" t="str">
        <f>"Balance @ December 31, "&amp;TCOS!L4-1&amp;""</f>
        <v>Balance @ December 31, 2024</v>
      </c>
      <c r="F67" s="1131" t="str">
        <f>"Average Balance for "&amp;TCOS!L4&amp;""</f>
        <v>Average Balance for 2025</v>
      </c>
    </row>
    <row r="68" spans="1:6" customFormat="1">
      <c r="A68" s="1132"/>
      <c r="B68" s="1090" t="s">
        <v>706</v>
      </c>
      <c r="C68" s="1090" t="s">
        <v>724</v>
      </c>
      <c r="D68" s="1090" t="s">
        <v>725</v>
      </c>
      <c r="E68" s="1090" t="s">
        <v>707</v>
      </c>
      <c r="F68" s="1090" t="s">
        <v>708</v>
      </c>
    </row>
    <row r="69" spans="1:6" customFormat="1">
      <c r="A69" s="1133">
        <f>+A64+1</f>
        <v>44</v>
      </c>
      <c r="B69" s="1132" t="s">
        <v>322</v>
      </c>
      <c r="C69" s="1134" t="s">
        <v>169</v>
      </c>
      <c r="D69" s="440">
        <v>0</v>
      </c>
      <c r="E69" s="440">
        <v>0</v>
      </c>
      <c r="F69" s="1135">
        <f>IF(E69="",0,AVERAGE(D69:E69))</f>
        <v>0</v>
      </c>
    </row>
    <row r="70" spans="1:6" customFormat="1">
      <c r="A70" s="1136"/>
      <c r="B70" s="1137"/>
      <c r="C70" s="1137"/>
      <c r="F70" s="1138"/>
    </row>
    <row r="71" spans="1:6" customFormat="1">
      <c r="A71" s="1133">
        <f>+A69+1</f>
        <v>45</v>
      </c>
      <c r="B71" s="1132" t="s">
        <v>777</v>
      </c>
      <c r="C71" s="1139" t="s">
        <v>326</v>
      </c>
      <c r="D71" s="440">
        <v>0</v>
      </c>
      <c r="E71" s="440">
        <v>0</v>
      </c>
      <c r="F71" s="1135">
        <f>IF(E71="",0,AVERAGE(D71:E71))</f>
        <v>0</v>
      </c>
    </row>
    <row r="72" spans="1:6" customFormat="1">
      <c r="A72" s="4"/>
      <c r="B72" s="4"/>
      <c r="C72" s="4"/>
      <c r="D72" s="4"/>
    </row>
    <row r="73" spans="1:6" customFormat="1">
      <c r="A73" s="1132" t="s">
        <v>21</v>
      </c>
      <c r="B73" s="4"/>
      <c r="C73" s="4"/>
      <c r="D73" s="4"/>
    </row>
    <row r="74" spans="1:6" customFormat="1">
      <c r="A74" s="1140"/>
      <c r="B74" s="1137" t="s">
        <v>155</v>
      </c>
      <c r="C74" s="1137"/>
      <c r="D74" s="1137"/>
      <c r="E74" s="1137"/>
      <c r="F74" s="1137"/>
    </row>
    <row r="75" spans="1:6" customFormat="1">
      <c r="A75" s="1133">
        <f>+A71+1</f>
        <v>46</v>
      </c>
      <c r="B75" s="1302">
        <v>0</v>
      </c>
      <c r="C75" s="1302">
        <v>0</v>
      </c>
      <c r="D75" s="1303">
        <v>0</v>
      </c>
      <c r="E75" s="440">
        <v>0</v>
      </c>
      <c r="F75" s="1135">
        <f>IF(E75="",0,AVERAGE(D75:E75))</f>
        <v>0</v>
      </c>
    </row>
    <row r="76" spans="1:6" customFormat="1">
      <c r="A76" s="1133">
        <f>+A75+1</f>
        <v>47</v>
      </c>
      <c r="B76" s="1302">
        <v>0</v>
      </c>
      <c r="C76" s="1302">
        <v>0</v>
      </c>
      <c r="D76" s="1303">
        <v>0</v>
      </c>
      <c r="E76" s="440">
        <v>0</v>
      </c>
      <c r="F76" s="1135">
        <f>IF(E76="",0,AVERAGE(D76:E76))</f>
        <v>0</v>
      </c>
    </row>
    <row r="77" spans="1:6" customFormat="1">
      <c r="A77" s="1133">
        <f>+A76+1</f>
        <v>48</v>
      </c>
      <c r="B77" s="1302">
        <v>0</v>
      </c>
      <c r="C77" s="1302">
        <v>0</v>
      </c>
      <c r="D77" s="1303">
        <v>0</v>
      </c>
      <c r="E77" s="440">
        <v>0</v>
      </c>
      <c r="F77" s="1135">
        <f>IF(E77="",0,AVERAGE(D77:E77))</f>
        <v>0</v>
      </c>
    </row>
    <row r="78" spans="1:6" customFormat="1">
      <c r="A78" s="1133">
        <f>+A77+1</f>
        <v>49</v>
      </c>
      <c r="B78" s="1302">
        <v>0</v>
      </c>
      <c r="C78" s="1302">
        <v>0</v>
      </c>
      <c r="D78" s="1303">
        <v>0</v>
      </c>
      <c r="E78" s="440">
        <v>0</v>
      </c>
      <c r="F78" s="1135">
        <f>IF(E78="",0,AVERAGE(D78:E78))</f>
        <v>0</v>
      </c>
    </row>
    <row r="79" spans="1:6" customFormat="1">
      <c r="A79" s="1133">
        <f>+A78+1</f>
        <v>50</v>
      </c>
      <c r="B79" s="1302">
        <v>0</v>
      </c>
      <c r="C79" s="1302">
        <v>0</v>
      </c>
      <c r="D79" s="1304">
        <v>0</v>
      </c>
      <c r="E79" s="1141">
        <v>0</v>
      </c>
      <c r="F79" s="1142">
        <f>IF(E79="",0,AVERAGE(D79:E79))</f>
        <v>0</v>
      </c>
    </row>
    <row r="80" spans="1:6" customFormat="1" ht="18" customHeight="1">
      <c r="A80" s="1133">
        <f>+A79+1</f>
        <v>51</v>
      </c>
      <c r="B80" s="1137" t="s">
        <v>726</v>
      </c>
      <c r="C80" s="1137"/>
      <c r="D80" s="1143">
        <f>SUM(D75:D79)</f>
        <v>0</v>
      </c>
      <c r="E80" s="1143">
        <f>SUM(E75:E79)</f>
        <v>0</v>
      </c>
      <c r="F80" s="1143">
        <f>SUM(F75:F79)</f>
        <v>0</v>
      </c>
    </row>
    <row r="81" spans="1:6" customFormat="1" ht="17.25" customHeight="1">
      <c r="A81" s="1133"/>
      <c r="B81" s="1137"/>
      <c r="C81" s="1137"/>
      <c r="D81" s="1143"/>
      <c r="E81" s="1143"/>
      <c r="F81" s="1143"/>
    </row>
    <row r="82" spans="1:6" customFormat="1" ht="18.75" customHeight="1">
      <c r="A82" s="1132" t="s">
        <v>727</v>
      </c>
      <c r="B82" s="1144"/>
      <c r="C82" s="1144"/>
      <c r="D82" s="1144"/>
      <c r="E82" s="1137"/>
      <c r="F82" s="1137"/>
    </row>
    <row r="83" spans="1:6" customFormat="1" ht="31.5" customHeight="1">
      <c r="A83" s="1128"/>
      <c r="B83" s="1145"/>
      <c r="C83" s="1146"/>
      <c r="D83" s="5"/>
      <c r="E83" s="1137"/>
      <c r="F83" s="1137"/>
    </row>
    <row r="84" spans="1:6" customFormat="1" ht="21.75" customHeight="1">
      <c r="A84" s="1128">
        <f>+A80+1</f>
        <v>52</v>
      </c>
      <c r="B84" s="1147" t="s">
        <v>457</v>
      </c>
      <c r="C84" s="1147" t="s">
        <v>102</v>
      </c>
      <c r="D84" s="1148"/>
      <c r="E84" s="9"/>
      <c r="F84" s="1147"/>
    </row>
    <row r="85" spans="1:6" customFormat="1" ht="14.25">
      <c r="A85" s="1149" t="s">
        <v>728</v>
      </c>
      <c r="B85" s="1305">
        <v>0</v>
      </c>
      <c r="C85" s="1306">
        <v>0</v>
      </c>
      <c r="D85" s="1303">
        <v>0</v>
      </c>
      <c r="E85" s="1303">
        <v>0</v>
      </c>
      <c r="F85" s="1150">
        <f>IF(E85="",0,AVERAGE(D85:E85))</f>
        <v>0</v>
      </c>
    </row>
    <row r="86" spans="1:6" customFormat="1" ht="14.25">
      <c r="A86" s="1151" t="s">
        <v>729</v>
      </c>
      <c r="B86" s="1303">
        <v>0</v>
      </c>
      <c r="C86" s="1306">
        <v>0</v>
      </c>
      <c r="D86" s="1303">
        <v>0</v>
      </c>
      <c r="E86" s="1303">
        <v>0</v>
      </c>
      <c r="F86" s="1152">
        <f>IF(E86="",0,AVERAGE(D86:E86))</f>
        <v>0</v>
      </c>
    </row>
    <row r="87" spans="1:6" customFormat="1" ht="18" customHeight="1">
      <c r="A87" s="1153">
        <f>A84+2</f>
        <v>54</v>
      </c>
      <c r="B87" s="9"/>
      <c r="C87" s="1154" t="s">
        <v>410</v>
      </c>
      <c r="D87" s="1125">
        <f>SUM(D85:D86)</f>
        <v>0</v>
      </c>
      <c r="E87" s="1125">
        <f>SUM(E85:E86)</f>
        <v>0</v>
      </c>
      <c r="F87" s="1125">
        <f>SUM(F85:F86)</f>
        <v>0</v>
      </c>
    </row>
    <row r="88" spans="1:6" customFormat="1">
      <c r="A88" s="1133"/>
      <c r="B88" s="1137"/>
      <c r="C88" s="1137"/>
      <c r="D88" s="1137"/>
    </row>
    <row r="89" spans="1:6">
      <c r="A89" s="1155" t="s">
        <v>730</v>
      </c>
      <c r="B89" s="1137"/>
      <c r="C89" s="1137"/>
      <c r="D89" s="1137"/>
    </row>
    <row r="90" spans="1:6">
      <c r="A90" s="1155" t="s">
        <v>731</v>
      </c>
      <c r="B90" s="1137"/>
      <c r="C90" s="1137"/>
      <c r="D90" s="1137"/>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6" zoomScale="75" zoomScaleNormal="75" workbookViewId="0">
      <selection activeCell="G15" sqref="G1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5" t="s">
        <v>406</v>
      </c>
    </row>
    <row r="2" spans="1:12" ht="15.75">
      <c r="A2" s="1005" t="s">
        <v>406</v>
      </c>
    </row>
    <row r="3" spans="1:12" ht="15">
      <c r="A3" s="1492" t="str">
        <f>TCOS!$F$5</f>
        <v>AEPTCo subsidiaries in PJM</v>
      </c>
      <c r="B3" s="1492" t="str">
        <f>TCOS!$F$5</f>
        <v>AEPTCo subsidiaries in PJM</v>
      </c>
      <c r="C3" s="1492" t="str">
        <f>TCOS!$F$5</f>
        <v>AEPTCo subsidiaries in PJM</v>
      </c>
      <c r="D3" s="1492" t="str">
        <f>TCOS!$F$5</f>
        <v>AEPTCo subsidiaries in PJM</v>
      </c>
      <c r="E3" s="1492" t="str">
        <f>TCOS!$F$5</f>
        <v>AEPTCo subsidiaries in PJM</v>
      </c>
      <c r="F3" s="1492" t="str">
        <f>TCOS!$F$5</f>
        <v>AEPTCo subsidiaries in PJM</v>
      </c>
      <c r="G3" s="1492" t="str">
        <f>TCOS!$F$5</f>
        <v>AEPTCo subsidiaries in PJM</v>
      </c>
      <c r="H3" s="1492" t="str">
        <f>TCOS!$F$5</f>
        <v>AEPTCo subsidiaries in PJM</v>
      </c>
      <c r="I3" s="1492" t="str">
        <f>TCOS!$F$5</f>
        <v>AEPTCo subsidiaries in PJM</v>
      </c>
      <c r="J3" s="21"/>
    </row>
    <row r="4" spans="1:12" ht="15">
      <c r="A4" s="1485" t="str">
        <f>"Cost of Service Formula Rate Using Actual/Projected FF1 Balances"</f>
        <v>Cost of Service Formula Rate Using Actual/Projected FF1 Balances</v>
      </c>
      <c r="B4" s="1485"/>
      <c r="C4" s="1485"/>
      <c r="D4" s="1485"/>
      <c r="E4" s="1485"/>
      <c r="F4" s="1485"/>
      <c r="G4" s="1485"/>
      <c r="H4" s="1485"/>
      <c r="I4" s="1485"/>
      <c r="J4" s="53"/>
    </row>
    <row r="5" spans="1:12" ht="15">
      <c r="A5" s="1485" t="s">
        <v>262</v>
      </c>
      <c r="B5" s="1485"/>
      <c r="C5" s="1485"/>
      <c r="D5" s="1485"/>
      <c r="E5" s="1485"/>
      <c r="F5" s="1485"/>
      <c r="G5" s="1485"/>
      <c r="H5" s="1485"/>
      <c r="I5" s="1485"/>
      <c r="J5" s="52"/>
    </row>
    <row r="6" spans="1:12" ht="15">
      <c r="A6" s="1495" t="str">
        <f>TCOS!F9</f>
        <v>AEP Appalachian Transmission Company</v>
      </c>
      <c r="B6" s="1495"/>
      <c r="C6" s="1495"/>
      <c r="D6" s="1495"/>
      <c r="E6" s="1495"/>
      <c r="F6" s="1495"/>
      <c r="G6" s="1495"/>
      <c r="H6" s="1495"/>
      <c r="I6" s="1495"/>
      <c r="J6" s="3"/>
    </row>
    <row r="7" spans="1:12">
      <c r="C7" s="17"/>
      <c r="D7" s="17"/>
    </row>
    <row r="8" spans="1:12" ht="15">
      <c r="A8" s="975"/>
      <c r="B8" s="986"/>
      <c r="C8" s="990" t="s">
        <v>452</v>
      </c>
      <c r="D8" s="990" t="s">
        <v>453</v>
      </c>
      <c r="E8" s="990" t="s">
        <v>454</v>
      </c>
      <c r="F8" s="975"/>
      <c r="G8" s="990" t="s">
        <v>455</v>
      </c>
      <c r="H8" s="975"/>
      <c r="I8" s="990" t="s">
        <v>375</v>
      </c>
      <c r="J8" s="5"/>
      <c r="K8"/>
      <c r="L8"/>
    </row>
    <row r="9" spans="1:12" ht="15">
      <c r="A9" s="974"/>
      <c r="B9" s="986"/>
      <c r="C9" s="975"/>
      <c r="D9" s="975"/>
      <c r="E9" s="975"/>
      <c r="F9" s="975"/>
      <c r="G9" s="975"/>
      <c r="H9" s="975"/>
      <c r="I9" s="991"/>
      <c r="J9"/>
      <c r="K9"/>
      <c r="L9"/>
    </row>
    <row r="10" spans="1:12" ht="12.75" customHeight="1">
      <c r="A10" s="989" t="s">
        <v>459</v>
      </c>
      <c r="B10" s="986"/>
      <c r="C10" s="992"/>
      <c r="D10" s="992"/>
      <c r="E10" s="1493" t="str">
        <f>"Balance @    December 31, "&amp;TCOS!L4&amp;""</f>
        <v>Balance @    December 31, 2025</v>
      </c>
      <c r="F10" s="993"/>
      <c r="G10" s="1493" t="str">
        <f>"Balance @     December 31, "&amp;TCOS!L4-1&amp;""</f>
        <v>Balance @     December 31, 2024</v>
      </c>
      <c r="H10" s="993"/>
      <c r="I10" s="1496" t="str">
        <f>"Average Balance for "&amp;TCOS!L4&amp;""</f>
        <v>Average Balance for 2025</v>
      </c>
      <c r="J10"/>
      <c r="K10"/>
      <c r="L10"/>
    </row>
    <row r="11" spans="1:12" ht="15">
      <c r="A11" s="996" t="s">
        <v>397</v>
      </c>
      <c r="B11" s="994"/>
      <c r="C11" s="989" t="s">
        <v>457</v>
      </c>
      <c r="D11" s="989" t="s">
        <v>488</v>
      </c>
      <c r="E11" s="1494"/>
      <c r="F11" s="995"/>
      <c r="G11" s="1494"/>
      <c r="H11" s="995"/>
      <c r="I11" s="1494"/>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89"/>
      <c r="H16"/>
    </row>
    <row r="17" spans="1:9" ht="14.25">
      <c r="A17" s="51">
        <f>+A15+1</f>
        <v>2</v>
      </c>
      <c r="C17" s="983" t="s">
        <v>301</v>
      </c>
      <c r="D17" s="987" t="s">
        <v>303</v>
      </c>
      <c r="E17" s="973">
        <v>0</v>
      </c>
      <c r="F17" s="978"/>
      <c r="G17" s="973">
        <v>0</v>
      </c>
      <c r="H17" s="979"/>
      <c r="I17" s="980">
        <f>IF(G17="",0,(E17+G17)/2)</f>
        <v>0</v>
      </c>
    </row>
    <row r="18" spans="1:9" ht="14.25">
      <c r="A18" s="51">
        <f>+A17+1</f>
        <v>3</v>
      </c>
      <c r="C18" s="983" t="s">
        <v>305</v>
      </c>
      <c r="D18" s="1244" t="str">
        <f>"WS B-1 - Actual Stmt. AF Ln. " &amp;'WS B-1 - Actual Stmt. AF'!A24&amp;" (Note 1)"</f>
        <v>WS B-1 - Actual Stmt. AF Ln. 4 (Note 1)</v>
      </c>
      <c r="E18" s="973">
        <v>0</v>
      </c>
      <c r="F18" s="975"/>
      <c r="G18" s="973">
        <v>0</v>
      </c>
      <c r="H18" s="979"/>
      <c r="I18" s="980">
        <f>IF(G18="",0,(E18+G18)/2)</f>
        <v>0</v>
      </c>
    </row>
    <row r="19" spans="1:9" ht="16.5">
      <c r="A19" s="51">
        <f>+A18+1</f>
        <v>4</v>
      </c>
      <c r="C19" s="983" t="s">
        <v>306</v>
      </c>
      <c r="D19" s="1244" t="str">
        <f>"WS B-1 - Actual Stmt. AF Ln. " &amp;'WS B-1 - Actual Stmt. AF'!A23&amp;" (Note 1)"</f>
        <v>WS B-1 - Actual Stmt. AF Ln. 3 (Note 1)</v>
      </c>
      <c r="E19" s="977">
        <v>0</v>
      </c>
      <c r="F19" s="975"/>
      <c r="G19" s="977">
        <v>0</v>
      </c>
      <c r="H19" s="975"/>
      <c r="I19" s="981">
        <f>IF(G19="",0,(E19+G19)/2)</f>
        <v>0</v>
      </c>
    </row>
    <row r="20" spans="1:9" ht="14.25">
      <c r="A20" s="51">
        <f>+A19+1</f>
        <v>5</v>
      </c>
      <c r="C20" s="983" t="s">
        <v>302</v>
      </c>
      <c r="D20" s="988" t="str">
        <f>"Ln "&amp;A17&amp;" - ln "&amp;A18&amp;" - ln "&amp;A19&amp;""</f>
        <v>Ln 2 - ln 3 - ln 4</v>
      </c>
      <c r="E20" s="982">
        <f>+E17-E18-E19</f>
        <v>0</v>
      </c>
      <c r="F20" s="975"/>
      <c r="G20" s="982">
        <f>+G17-G18-G19</f>
        <v>0</v>
      </c>
      <c r="H20" s="975"/>
      <c r="I20" s="980">
        <f>+I17-I18-I19</f>
        <v>0</v>
      </c>
    </row>
    <row r="21" spans="1:9" ht="14.25">
      <c r="A21" s="51"/>
      <c r="C21" s="42"/>
      <c r="D21" s="983"/>
      <c r="E21" s="975"/>
      <c r="F21" s="975"/>
      <c r="G21" s="975"/>
      <c r="H21" s="975"/>
      <c r="I21" s="975"/>
    </row>
    <row r="22" spans="1:9" ht="14.25">
      <c r="A22" s="51"/>
      <c r="C22" s="42"/>
      <c r="D22" s="983"/>
      <c r="E22" s="975"/>
      <c r="F22" s="975"/>
      <c r="G22" s="975"/>
      <c r="H22" s="975"/>
      <c r="I22" s="975"/>
    </row>
    <row r="23" spans="1:9" ht="15.75">
      <c r="A23" s="51">
        <f>+A20+1</f>
        <v>6</v>
      </c>
      <c r="C23" s="40" t="s">
        <v>296</v>
      </c>
      <c r="D23" s="983"/>
      <c r="E23" s="975"/>
      <c r="F23" s="975"/>
      <c r="G23" s="975"/>
      <c r="H23" s="975"/>
      <c r="I23" s="975"/>
    </row>
    <row r="24" spans="1:9" ht="14.25">
      <c r="A24" s="51"/>
      <c r="C24" s="42"/>
      <c r="D24" s="983"/>
      <c r="E24" s="975"/>
      <c r="F24" s="975"/>
      <c r="G24" s="975"/>
      <c r="H24" s="975"/>
      <c r="I24" s="975"/>
    </row>
    <row r="25" spans="1:9" ht="14.25">
      <c r="A25" s="51">
        <f>+A23+1</f>
        <v>7</v>
      </c>
      <c r="C25" s="983" t="s">
        <v>301</v>
      </c>
      <c r="D25" s="987" t="s">
        <v>229</v>
      </c>
      <c r="E25" s="973">
        <v>9877608.0035734475</v>
      </c>
      <c r="F25" s="978"/>
      <c r="G25" s="973">
        <v>8227658.5736573031</v>
      </c>
      <c r="H25" s="979"/>
      <c r="I25" s="980">
        <f>IF(G25="",0,(E25+G25)/2)</f>
        <v>9052633.2886153758</v>
      </c>
    </row>
    <row r="26" spans="1:9" ht="14.25">
      <c r="A26" s="51">
        <f>+A25+1</f>
        <v>8</v>
      </c>
      <c r="C26" s="983" t="s">
        <v>305</v>
      </c>
      <c r="D26" s="1244" t="str">
        <f>"WS B-1 - Actual Stmt. AF Ln. " &amp;'WS B-1 - Actual Stmt. AF'!A72&amp;" (Note 1)"</f>
        <v>WS B-1 - Actual Stmt. AF Ln. 7 (Note 1)</v>
      </c>
      <c r="E26" s="973">
        <v>0</v>
      </c>
      <c r="F26" s="975"/>
      <c r="G26" s="973">
        <v>0</v>
      </c>
      <c r="H26" s="979"/>
      <c r="I26" s="980">
        <f>IF(G26="",0,(E26+G26)/2)</f>
        <v>0</v>
      </c>
    </row>
    <row r="27" spans="1:9" ht="16.5">
      <c r="A27" s="51">
        <f>+A26+1</f>
        <v>9</v>
      </c>
      <c r="C27" s="983" t="s">
        <v>306</v>
      </c>
      <c r="D27" s="1244" t="str">
        <f>"WS B-1 - Actual Stmt. AF Ln. " &amp;'WS B-1 - Actual Stmt. AF'!A71&amp;" (Note 1)"</f>
        <v>WS B-1 - Actual Stmt. AF Ln. 6 (Note 1)</v>
      </c>
      <c r="E27" s="977">
        <v>1895096.6204319298</v>
      </c>
      <c r="F27" s="975"/>
      <c r="G27" s="977">
        <v>1004952.6700000009</v>
      </c>
      <c r="H27" s="975"/>
      <c r="I27" s="981">
        <f>IF(G27="",0,(E27+G27)/2)</f>
        <v>1450024.6452159653</v>
      </c>
    </row>
    <row r="28" spans="1:9" ht="14.25">
      <c r="A28" s="51">
        <f>+A27+1</f>
        <v>10</v>
      </c>
      <c r="C28" s="983" t="s">
        <v>302</v>
      </c>
      <c r="D28" s="988" t="str">
        <f>"Ln "&amp;A25&amp;" - ln "&amp;A26&amp;" - ln "&amp;A27&amp;""</f>
        <v>Ln 7 - ln 8 - ln 9</v>
      </c>
      <c r="E28" s="982">
        <f>+E25-E26-E27</f>
        <v>7982511.3831415176</v>
      </c>
      <c r="F28" s="975"/>
      <c r="G28" s="982">
        <f>+G25-G26-G27</f>
        <v>7222705.9036573023</v>
      </c>
      <c r="H28" s="975"/>
      <c r="I28" s="980">
        <f>+I25-I26-I27</f>
        <v>7602608.6433994099</v>
      </c>
    </row>
    <row r="29" spans="1:9" ht="14.25">
      <c r="A29" s="51"/>
      <c r="C29" s="42"/>
      <c r="D29" s="983"/>
      <c r="E29" s="975"/>
      <c r="F29" s="975"/>
      <c r="G29" s="975"/>
      <c r="H29" s="975"/>
      <c r="I29" s="975"/>
    </row>
    <row r="30" spans="1:9" ht="14.25">
      <c r="A30" s="51"/>
      <c r="C30" s="42"/>
      <c r="D30" s="983"/>
      <c r="E30" s="976"/>
      <c r="F30" s="975"/>
      <c r="G30" s="976"/>
      <c r="H30" s="975"/>
      <c r="I30" s="975"/>
    </row>
    <row r="31" spans="1:9" ht="15.75">
      <c r="A31" s="51">
        <f>+A28+1</f>
        <v>11</v>
      </c>
      <c r="C31" s="40" t="s">
        <v>297</v>
      </c>
      <c r="D31" s="983"/>
      <c r="E31" s="975"/>
      <c r="F31" s="975"/>
      <c r="G31" s="975"/>
      <c r="H31" s="975"/>
      <c r="I31" s="975"/>
    </row>
    <row r="32" spans="1:9" ht="15.75">
      <c r="A32" s="51"/>
      <c r="C32" s="40"/>
      <c r="D32" s="983"/>
      <c r="E32" s="975"/>
      <c r="F32" s="975"/>
      <c r="G32" s="975"/>
      <c r="H32" s="975"/>
      <c r="I32" s="975"/>
    </row>
    <row r="33" spans="1:9" ht="14.25">
      <c r="A33" s="51">
        <f>+A31+1</f>
        <v>12</v>
      </c>
      <c r="C33" s="983" t="s">
        <v>301</v>
      </c>
      <c r="D33" s="987" t="s">
        <v>304</v>
      </c>
      <c r="E33" s="973">
        <v>2677308.2230032524</v>
      </c>
      <c r="F33" s="978"/>
      <c r="G33" s="973">
        <v>2612716.3891426963</v>
      </c>
      <c r="H33" s="979"/>
      <c r="I33" s="980">
        <f>IF(G33="",0,(E33+G33)/2)</f>
        <v>2645012.3060729746</v>
      </c>
    </row>
    <row r="34" spans="1:9" ht="14.25">
      <c r="A34" s="51">
        <f>+A33+1</f>
        <v>13</v>
      </c>
      <c r="C34" s="983" t="s">
        <v>305</v>
      </c>
      <c r="D34" s="1244" t="str">
        <f>"WS B-1 - Actual Stmt. AF Ln. " &amp;'WS B-1 - Actual Stmt. AF'!A184&amp;" (Note 1)"</f>
        <v>WS B-1 - Actual Stmt. AF Ln. 13 (Note 1)</v>
      </c>
      <c r="E34" s="973">
        <v>0</v>
      </c>
      <c r="F34" s="975"/>
      <c r="G34" s="973">
        <v>0</v>
      </c>
      <c r="H34" s="979"/>
      <c r="I34" s="980">
        <f>IF(G34="",0,(E34+G34)/2)</f>
        <v>0</v>
      </c>
    </row>
    <row r="35" spans="1:9" ht="16.5">
      <c r="A35" s="51">
        <f>+A34+1</f>
        <v>14</v>
      </c>
      <c r="C35" s="983" t="s">
        <v>306</v>
      </c>
      <c r="D35" s="1244" t="str">
        <f>"WS B-1 - Actual Stmt. AF Ln. " &amp;'WS B-1 - Actual Stmt. AF'!A183&amp;" (Note 1)"</f>
        <v>WS B-1 - Actual Stmt. AF Ln. 12 (Note 1)</v>
      </c>
      <c r="E35" s="977">
        <v>558495.87000000011</v>
      </c>
      <c r="F35" s="975"/>
      <c r="G35" s="977">
        <v>558495.86999999988</v>
      </c>
      <c r="H35" s="975"/>
      <c r="I35" s="981">
        <f>IF(G35="",0,(E35+G35)/2)</f>
        <v>558495.87</v>
      </c>
    </row>
    <row r="36" spans="1:9" ht="14.25">
      <c r="A36" s="51">
        <f>+A35+1</f>
        <v>15</v>
      </c>
      <c r="C36" s="983" t="s">
        <v>302</v>
      </c>
      <c r="D36" s="988" t="str">
        <f>"Ln "&amp;A33&amp;" - ln "&amp;A34&amp;" - ln "&amp;A35&amp;""</f>
        <v>Ln 12 - ln 13 - ln 14</v>
      </c>
      <c r="E36" s="982">
        <f>+E33-E34-E35</f>
        <v>2118812.3530032523</v>
      </c>
      <c r="F36" s="975"/>
      <c r="G36" s="982">
        <f>+G33-G34-G35</f>
        <v>2054220.5191426964</v>
      </c>
      <c r="H36" s="975"/>
      <c r="I36" s="980">
        <f>+I33-I34-I35</f>
        <v>2086516.4360729745</v>
      </c>
    </row>
    <row r="37" spans="1:9" ht="15.75">
      <c r="A37" s="51"/>
      <c r="C37" s="40"/>
      <c r="D37" s="983"/>
      <c r="E37" s="975"/>
      <c r="F37" s="975"/>
      <c r="G37" s="975"/>
      <c r="H37" s="975"/>
      <c r="I37" s="975"/>
    </row>
    <row r="38" spans="1:9" ht="14.25">
      <c r="A38" s="51"/>
      <c r="C38" s="42"/>
      <c r="D38" s="983"/>
      <c r="E38" s="975"/>
      <c r="F38" s="975"/>
      <c r="G38" s="975"/>
      <c r="H38" s="975"/>
      <c r="I38" s="975"/>
    </row>
    <row r="39" spans="1:9" ht="15.75">
      <c r="A39" s="51">
        <f>+A36+1</f>
        <v>16</v>
      </c>
      <c r="C39" s="40" t="s">
        <v>298</v>
      </c>
      <c r="D39" s="983"/>
      <c r="E39" s="975"/>
      <c r="F39" s="975"/>
      <c r="G39" s="975"/>
      <c r="H39" s="975"/>
      <c r="I39" s="975"/>
    </row>
    <row r="40" spans="1:9" ht="14.25">
      <c r="A40" s="51"/>
      <c r="C40" s="42"/>
      <c r="D40" s="983"/>
      <c r="E40" s="975"/>
      <c r="F40" s="975"/>
      <c r="G40" s="975"/>
      <c r="H40" s="975"/>
      <c r="I40" s="975"/>
    </row>
    <row r="41" spans="1:9" ht="14.25">
      <c r="A41" s="51">
        <f>+A39+1</f>
        <v>17</v>
      </c>
      <c r="C41" s="983" t="s">
        <v>301</v>
      </c>
      <c r="D41" s="987" t="s">
        <v>300</v>
      </c>
      <c r="E41" s="973">
        <v>2034214.1756451465</v>
      </c>
      <c r="F41" s="978"/>
      <c r="G41" s="973">
        <v>2454808.3916451451</v>
      </c>
      <c r="H41" s="979"/>
      <c r="I41" s="980">
        <f>IF(G41="",0,(E41+G41)/2)</f>
        <v>2244511.2836451456</v>
      </c>
    </row>
    <row r="42" spans="1:9" ht="14.25">
      <c r="A42" s="51">
        <f>+A41+1</f>
        <v>18</v>
      </c>
      <c r="C42" s="983" t="s">
        <v>305</v>
      </c>
      <c r="D42" s="1244" t="str">
        <f>"WS B-2 - Actual Stmt. AG Ln. " &amp;'WS B-2 - Actual Stmt. AG'!A110&amp;" (Note 1)"</f>
        <v>WS B-2 - Actual Stmt. AG Ln. 4 (Note 1)</v>
      </c>
      <c r="E42" s="973">
        <v>0</v>
      </c>
      <c r="F42" s="975"/>
      <c r="G42" s="973">
        <v>0</v>
      </c>
      <c r="H42" s="979"/>
      <c r="I42" s="980">
        <f>IF(G42="",0,(E42+G42)/2)</f>
        <v>0</v>
      </c>
    </row>
    <row r="43" spans="1:9" ht="16.5">
      <c r="A43" s="51">
        <f>+A42+1</f>
        <v>19</v>
      </c>
      <c r="C43" s="983" t="s">
        <v>306</v>
      </c>
      <c r="D43" s="1244" t="str">
        <f>"WS B-2 - Actual Stmt. AG Ln. " &amp;'WS B-2 - Actual Stmt. AG'!A109&amp;" (Note 1)"</f>
        <v>WS B-2 - Actual Stmt. AG Ln. 3 (Note 1)</v>
      </c>
      <c r="E43" s="977">
        <v>152297.30000000005</v>
      </c>
      <c r="F43" s="975"/>
      <c r="G43" s="977">
        <v>152297.29999999981</v>
      </c>
      <c r="H43" s="975"/>
      <c r="I43" s="981">
        <f>IF(G43="",0,(E43+G43)/2)</f>
        <v>152297.29999999993</v>
      </c>
    </row>
    <row r="44" spans="1:9" ht="14.25">
      <c r="A44" s="51">
        <f>+A43+1</f>
        <v>20</v>
      </c>
      <c r="C44" s="983" t="s">
        <v>302</v>
      </c>
      <c r="D44" s="988" t="str">
        <f>"Ln "&amp;A41&amp;" - ln "&amp;A42&amp;" - ln "&amp;A43&amp;""</f>
        <v>Ln 17 - ln 18 - ln 19</v>
      </c>
      <c r="E44" s="982">
        <f>+E41-E42-E43</f>
        <v>1881916.8756451465</v>
      </c>
      <c r="F44" s="975"/>
      <c r="G44" s="982">
        <f>+G41-G42-G43</f>
        <v>2302511.0916451453</v>
      </c>
      <c r="H44" s="975"/>
      <c r="I44" s="980">
        <f>+I41-I42-I43</f>
        <v>2092213.9836451458</v>
      </c>
    </row>
    <row r="45" spans="1:9" ht="14.25">
      <c r="A45" s="51"/>
      <c r="C45" s="42"/>
      <c r="D45" s="42"/>
      <c r="E45" s="975"/>
      <c r="F45" s="975"/>
      <c r="G45" s="975"/>
      <c r="H45" s="975"/>
      <c r="I45" s="975"/>
    </row>
    <row r="46" spans="1:9" ht="14.25">
      <c r="A46" s="51"/>
      <c r="C46" s="42"/>
      <c r="D46" s="42"/>
      <c r="E46" s="975"/>
      <c r="F46" s="975"/>
      <c r="G46" s="975"/>
      <c r="H46" s="975"/>
      <c r="I46" s="975"/>
    </row>
    <row r="47" spans="1:9" ht="15.75">
      <c r="A47" s="51">
        <f>+A44+1</f>
        <v>21</v>
      </c>
      <c r="C47" s="40" t="s">
        <v>299</v>
      </c>
      <c r="D47" s="42"/>
      <c r="E47" s="975"/>
      <c r="F47" s="975"/>
      <c r="G47" s="975"/>
      <c r="H47" s="975"/>
      <c r="I47" s="975"/>
    </row>
    <row r="48" spans="1:9" ht="14.25">
      <c r="A48" s="51"/>
      <c r="C48" s="42"/>
      <c r="D48" s="42"/>
      <c r="E48" s="975"/>
      <c r="F48" s="975"/>
      <c r="G48" s="975"/>
      <c r="H48" s="975"/>
      <c r="I48" s="975"/>
    </row>
    <row r="49" spans="1:10" ht="14.25">
      <c r="A49" s="51">
        <f>+A47+1</f>
        <v>22</v>
      </c>
      <c r="C49" s="983" t="s">
        <v>307</v>
      </c>
      <c r="D49" s="987" t="s">
        <v>261</v>
      </c>
      <c r="E49" s="973"/>
      <c r="F49" s="975"/>
      <c r="G49" s="973"/>
      <c r="H49" s="979"/>
      <c r="I49" s="980">
        <f>IF(G49="",0,(E49+G49)/2)</f>
        <v>0</v>
      </c>
    </row>
    <row r="50" spans="1:10" ht="16.5">
      <c r="A50" s="51">
        <f>+A49+1</f>
        <v>23</v>
      </c>
      <c r="C50" s="983" t="s">
        <v>308</v>
      </c>
      <c r="D50" s="974" t="s">
        <v>326</v>
      </c>
      <c r="E50" s="977"/>
      <c r="F50" s="975"/>
      <c r="G50" s="977"/>
      <c r="H50" s="979"/>
      <c r="I50" s="981">
        <f>IF(G50="",0,(E50+G50)/2)</f>
        <v>0</v>
      </c>
    </row>
    <row r="51" spans="1:10" ht="14.25">
      <c r="A51" s="51">
        <f>+A50+1</f>
        <v>24</v>
      </c>
      <c r="C51" s="983" t="s">
        <v>252</v>
      </c>
      <c r="D51" s="988" t="str">
        <f>"Ln "&amp;A49&amp;" - ln "&amp;A50&amp;""</f>
        <v>Ln 22 - ln 23</v>
      </c>
      <c r="E51" s="982">
        <f>+E49-E50</f>
        <v>0</v>
      </c>
      <c r="F51" s="975"/>
      <c r="G51" s="982">
        <f>+G49-G50</f>
        <v>0</v>
      </c>
      <c r="H51" s="979"/>
      <c r="I51" s="980">
        <f>+I49-I50</f>
        <v>0</v>
      </c>
    </row>
    <row r="52" spans="1:10" ht="14.25">
      <c r="A52" s="51">
        <f>+A51+1</f>
        <v>25</v>
      </c>
      <c r="C52" s="983" t="s">
        <v>302</v>
      </c>
      <c r="D52" s="988" t="str">
        <f>"WS B-1 - Actual Stmt. AF Ln. " &amp;'WS B-1 - Actual Stmt. AF'!A197&amp;" (Note 1)"</f>
        <v>WS B-1 - Actual Stmt. AF Ln. 20 (Note 1)</v>
      </c>
      <c r="E52" s="973"/>
      <c r="F52" s="978"/>
      <c r="G52" s="973"/>
      <c r="H52" s="979"/>
      <c r="I52" s="980">
        <f>IF(G52="",0,(E52+G52)/2)</f>
        <v>0</v>
      </c>
    </row>
    <row r="53" spans="1:10">
      <c r="A53" s="51"/>
      <c r="C53" s="42"/>
      <c r="D53" s="42"/>
    </row>
    <row r="54" spans="1:10" ht="14.25">
      <c r="A54" s="984" t="s">
        <v>325</v>
      </c>
      <c r="B54" s="985" t="s">
        <v>406</v>
      </c>
      <c r="C54" s="985" t="s">
        <v>764</v>
      </c>
      <c r="D54" s="42"/>
    </row>
    <row r="55" spans="1:10" ht="14.25">
      <c r="A55" s="974"/>
      <c r="B55" s="986"/>
      <c r="C55" s="983" t="s">
        <v>765</v>
      </c>
      <c r="D55" s="42"/>
    </row>
    <row r="56" spans="1:10" ht="14.25">
      <c r="A56" s="974" t="s">
        <v>258</v>
      </c>
      <c r="B56" s="986" t="s">
        <v>259</v>
      </c>
      <c r="C56" s="983"/>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I69" sqref="I69"/>
    </sheetView>
  </sheetViews>
  <sheetFormatPr defaultRowHeight="12.75"/>
  <cols>
    <col min="1" max="1" width="6.85546875" style="1017" customWidth="1"/>
    <col min="2" max="2" width="57.7109375" style="1016" bestFit="1" customWidth="1"/>
    <col min="3" max="4" width="14.85546875" style="1016" customWidth="1"/>
    <col min="5" max="6" width="14.28515625" style="1016" customWidth="1"/>
    <col min="7" max="7" width="15.28515625" style="1016" bestFit="1" customWidth="1"/>
    <col min="8" max="8" width="9.140625" style="1016"/>
    <col min="9" max="9" width="13.140625" style="1016" bestFit="1" customWidth="1"/>
    <col min="10" max="10" width="15" style="1016" bestFit="1" customWidth="1"/>
    <col min="11" max="11" width="13.5703125" style="1016" bestFit="1" customWidth="1"/>
    <col min="12" max="12" width="9.140625" style="1016"/>
    <col min="13" max="13" width="13.140625" style="1016" bestFit="1" customWidth="1"/>
    <col min="14" max="14" width="15" style="1016" bestFit="1" customWidth="1"/>
    <col min="15" max="15" width="13.5703125" style="1016" bestFit="1" customWidth="1"/>
    <col min="16" max="16" width="9.140625" style="1016"/>
    <col min="17" max="17" width="13.140625" style="1016" bestFit="1" customWidth="1"/>
    <col min="18" max="18" width="15" style="1016" bestFit="1" customWidth="1"/>
    <col min="19" max="19" width="13.5703125" style="1016" bestFit="1" customWidth="1"/>
    <col min="20" max="16384" width="9.140625" style="1016"/>
  </cols>
  <sheetData>
    <row r="1" spans="1:19">
      <c r="A1" s="1043"/>
      <c r="B1" s="1066" t="str">
        <f>TCOS!F9</f>
        <v>AEP Appalachian Transmission Company</v>
      </c>
      <c r="C1" s="1027"/>
      <c r="D1" s="1027"/>
      <c r="E1" s="1027"/>
      <c r="F1" s="1027"/>
      <c r="G1" s="1024"/>
      <c r="H1" s="1024"/>
      <c r="I1" s="1024"/>
      <c r="J1" s="1024"/>
      <c r="K1" s="1024"/>
      <c r="L1" s="1024"/>
      <c r="M1" s="1027"/>
      <c r="N1" s="1027"/>
      <c r="O1" s="1027"/>
      <c r="P1" s="1027"/>
      <c r="Q1" s="1027"/>
      <c r="R1" s="1027"/>
      <c r="S1" s="1024"/>
    </row>
    <row r="2" spans="1:19">
      <c r="A2" s="1043"/>
      <c r="B2" s="1026" t="s">
        <v>641</v>
      </c>
      <c r="C2" s="1027"/>
      <c r="D2" s="1027"/>
      <c r="E2" s="1027"/>
      <c r="F2" s="1027"/>
      <c r="G2" s="1024"/>
      <c r="H2" s="1024"/>
      <c r="I2" s="1024"/>
      <c r="J2" s="1024"/>
      <c r="K2" s="1024"/>
      <c r="L2" s="1024"/>
      <c r="M2" s="1027"/>
      <c r="N2" s="1027"/>
      <c r="O2" s="1027"/>
      <c r="P2" s="1027"/>
      <c r="Q2" s="1027"/>
      <c r="R2" s="1027"/>
      <c r="S2" s="1024"/>
    </row>
    <row r="3" spans="1:19">
      <c r="A3" s="1043"/>
      <c r="B3" s="1059" t="str">
        <f>"PERIOD ENDED DECEMBER 31, "&amp;TCOS!L4</f>
        <v>PERIOD ENDED DECEMBER 31, 2025</v>
      </c>
      <c r="C3" s="1027"/>
      <c r="D3" s="1027"/>
      <c r="E3" s="1027"/>
      <c r="F3" s="1027"/>
      <c r="G3" s="1027"/>
      <c r="H3" s="1027"/>
      <c r="I3" s="1027"/>
      <c r="J3" s="1027"/>
      <c r="K3" s="1027"/>
      <c r="L3" s="1027"/>
      <c r="M3" s="1027"/>
      <c r="N3" s="1027"/>
      <c r="O3" s="1027"/>
      <c r="P3" s="1027"/>
      <c r="Q3" s="1027"/>
      <c r="R3" s="1027"/>
      <c r="S3" s="1027"/>
    </row>
    <row r="4" spans="1:19">
      <c r="A4" s="1043"/>
      <c r="B4" s="1027"/>
      <c r="C4" s="1027"/>
      <c r="D4" s="1027"/>
      <c r="E4" s="1027"/>
      <c r="F4" s="1027"/>
      <c r="G4" s="1025" t="s">
        <v>642</v>
      </c>
      <c r="H4" s="1025"/>
      <c r="I4" s="1025"/>
      <c r="J4" s="1025"/>
      <c r="K4" s="1025"/>
      <c r="L4" s="1025"/>
      <c r="M4" s="1027"/>
      <c r="N4" s="1027"/>
      <c r="O4" s="1027"/>
      <c r="P4" s="1027"/>
      <c r="Q4" s="1027"/>
      <c r="R4" s="1027"/>
      <c r="S4" s="1027"/>
    </row>
    <row r="5" spans="1:19">
      <c r="A5" s="1043"/>
      <c r="B5" s="1028"/>
      <c r="C5" s="1027"/>
      <c r="D5" s="1027"/>
      <c r="E5" s="1027"/>
      <c r="F5" s="1027"/>
      <c r="G5" s="1027"/>
      <c r="H5" s="1027"/>
      <c r="I5" s="1027"/>
      <c r="J5" s="1027"/>
      <c r="K5" s="1027"/>
      <c r="L5" s="1027"/>
      <c r="M5" s="1027"/>
      <c r="N5" s="1027"/>
      <c r="O5" s="1027"/>
      <c r="P5" s="1027"/>
      <c r="Q5" s="1027"/>
      <c r="R5" s="1027"/>
      <c r="S5" s="1027"/>
    </row>
    <row r="6" spans="1:19">
      <c r="A6" s="1043"/>
      <c r="B6" s="1027"/>
      <c r="C6" s="1027"/>
      <c r="D6" s="1027"/>
      <c r="E6" s="1027"/>
      <c r="F6" s="1027"/>
      <c r="G6" s="1027"/>
      <c r="H6" s="1027"/>
      <c r="I6" s="1027"/>
      <c r="J6" s="1027"/>
      <c r="K6" s="1027"/>
      <c r="L6" s="1027"/>
      <c r="M6" s="1027"/>
      <c r="N6" s="1027"/>
      <c r="O6" s="1027"/>
      <c r="P6" s="1027"/>
      <c r="Q6" s="1027"/>
      <c r="R6" s="1027"/>
      <c r="S6" s="1027"/>
    </row>
    <row r="7" spans="1:19">
      <c r="A7" s="1043"/>
      <c r="B7" s="1027"/>
      <c r="C7" s="1027"/>
      <c r="D7" s="1027"/>
      <c r="E7" s="1027"/>
      <c r="F7" s="1027"/>
      <c r="G7" s="1027"/>
      <c r="H7" s="1027"/>
      <c r="I7" s="1027"/>
      <c r="J7" s="1027"/>
      <c r="K7" s="1027"/>
      <c r="L7" s="1027"/>
      <c r="M7" s="1027"/>
      <c r="N7" s="1027"/>
      <c r="O7" s="1027"/>
      <c r="P7" s="1027"/>
      <c r="Q7" s="1027"/>
      <c r="R7" s="1027"/>
      <c r="S7" s="1027"/>
    </row>
    <row r="8" spans="1:19">
      <c r="A8" s="1043"/>
      <c r="B8" s="1029" t="s">
        <v>643</v>
      </c>
      <c r="C8" s="1029" t="s">
        <v>644</v>
      </c>
      <c r="D8" s="1029" t="s">
        <v>645</v>
      </c>
      <c r="E8" s="1029" t="s">
        <v>646</v>
      </c>
      <c r="F8" s="1029" t="s">
        <v>647</v>
      </c>
      <c r="G8" s="1029" t="s">
        <v>648</v>
      </c>
      <c r="H8" s="1029"/>
      <c r="I8" s="1029" t="s">
        <v>649</v>
      </c>
      <c r="J8" s="1029" t="s">
        <v>650</v>
      </c>
      <c r="K8" s="1029" t="s">
        <v>651</v>
      </c>
      <c r="L8" s="1029"/>
      <c r="M8" s="1029" t="s">
        <v>652</v>
      </c>
      <c r="N8" s="1029" t="s">
        <v>653</v>
      </c>
      <c r="O8" s="1029" t="s">
        <v>654</v>
      </c>
      <c r="P8" s="1027"/>
      <c r="Q8" s="1029" t="s">
        <v>655</v>
      </c>
      <c r="R8" s="1029" t="s">
        <v>656</v>
      </c>
      <c r="S8" s="1029" t="s">
        <v>657</v>
      </c>
    </row>
    <row r="9" spans="1:19">
      <c r="A9" s="1043"/>
      <c r="B9" s="1027"/>
      <c r="C9" s="1027"/>
      <c r="D9" s="1027"/>
      <c r="E9" s="1027"/>
      <c r="F9" s="1027"/>
      <c r="G9" s="1027"/>
      <c r="H9" s="1027"/>
      <c r="I9" s="1027"/>
      <c r="J9" s="1027"/>
      <c r="K9" s="1027"/>
      <c r="L9" s="1027"/>
      <c r="M9" s="1027"/>
      <c r="N9" s="1027"/>
      <c r="O9" s="1027"/>
      <c r="P9" s="1027"/>
      <c r="Q9" s="1027"/>
      <c r="R9" s="1027"/>
      <c r="S9" s="1027"/>
    </row>
    <row r="10" spans="1:19">
      <c r="A10" s="1043"/>
      <c r="B10" s="1027"/>
      <c r="C10" s="1030" t="s">
        <v>658</v>
      </c>
      <c r="D10" s="1030"/>
      <c r="E10" s="1031" t="s">
        <v>659</v>
      </c>
      <c r="F10" s="1030"/>
      <c r="G10" s="1018" t="s">
        <v>660</v>
      </c>
      <c r="H10" s="1018"/>
      <c r="I10" s="1032" t="s">
        <v>661</v>
      </c>
      <c r="J10" s="1030"/>
      <c r="K10" s="1030"/>
      <c r="L10" s="1018"/>
      <c r="M10" s="1032" t="str">
        <f>"FUNCTIONALIZATION 12/31/"&amp;TCOS!L4-1</f>
        <v>FUNCTIONALIZATION 12/31/2024</v>
      </c>
      <c r="N10" s="1030"/>
      <c r="O10" s="1030"/>
      <c r="P10" s="1027"/>
      <c r="Q10" s="1032" t="str">
        <f>"FUNCTIONALIZATION 12/31/"&amp;TCOS!L4</f>
        <v>FUNCTIONALIZATION 12/31/2025</v>
      </c>
      <c r="R10" s="1030"/>
      <c r="S10" s="1030"/>
    </row>
    <row r="11" spans="1:19">
      <c r="A11" s="1043"/>
      <c r="B11" s="1027"/>
      <c r="C11" s="1033"/>
      <c r="D11" s="1033"/>
      <c r="E11" s="1027"/>
      <c r="F11" s="1027"/>
      <c r="G11" s="1018" t="s">
        <v>662</v>
      </c>
      <c r="H11" s="1018"/>
      <c r="I11" s="1033"/>
      <c r="J11" s="1033"/>
      <c r="K11" s="1033"/>
      <c r="L11" s="1018"/>
      <c r="M11" s="1033"/>
      <c r="N11" s="1033"/>
      <c r="O11" s="1033"/>
      <c r="P11" s="1027"/>
      <c r="Q11" s="1033"/>
      <c r="R11" s="1033"/>
      <c r="S11" s="1033"/>
    </row>
    <row r="12" spans="1:19" s="1061" customFormat="1">
      <c r="A12" s="1062"/>
      <c r="B12" s="1060"/>
      <c r="C12" s="1063" t="s">
        <v>663</v>
      </c>
      <c r="D12" s="1063" t="s">
        <v>663</v>
      </c>
      <c r="E12" s="1063" t="s">
        <v>663</v>
      </c>
      <c r="F12" s="1063" t="s">
        <v>663</v>
      </c>
      <c r="G12" s="1063" t="s">
        <v>664</v>
      </c>
      <c r="H12" s="1063"/>
      <c r="I12" s="1060"/>
      <c r="J12" s="1060"/>
      <c r="K12" s="1060"/>
      <c r="L12" s="1063"/>
      <c r="M12" s="1060"/>
      <c r="N12" s="1060"/>
      <c r="O12" s="1060"/>
      <c r="P12" s="1060"/>
      <c r="Q12" s="1060"/>
      <c r="R12" s="1060"/>
      <c r="S12" s="1060"/>
    </row>
    <row r="13" spans="1:19" s="1061" customFormat="1">
      <c r="A13" s="1062"/>
      <c r="B13" s="1064" t="s">
        <v>665</v>
      </c>
      <c r="C13" s="1064" t="str">
        <f>"OF 12-31-"&amp;TCOS!L4-1</f>
        <v>OF 12-31-2024</v>
      </c>
      <c r="D13" s="1064" t="str">
        <f>"OF 12-31-"&amp;TCOS!L4</f>
        <v>OF 12-31-2025</v>
      </c>
      <c r="E13" s="1064" t="str">
        <f>"OF 12-31-"&amp;TCOS!L4-1</f>
        <v>OF 12-31-2024</v>
      </c>
      <c r="F13" s="1064" t="str">
        <f>"OF 12-31-"&amp;TCOS!L4</f>
        <v>OF 12-31-2025</v>
      </c>
      <c r="G13" s="1064" t="s">
        <v>666</v>
      </c>
      <c r="H13" s="1064"/>
      <c r="I13" s="1064" t="s">
        <v>667</v>
      </c>
      <c r="J13" s="1064" t="s">
        <v>668</v>
      </c>
      <c r="K13" s="1064" t="s">
        <v>669</v>
      </c>
      <c r="L13" s="1064"/>
      <c r="M13" s="1064" t="s">
        <v>667</v>
      </c>
      <c r="N13" s="1064" t="s">
        <v>668</v>
      </c>
      <c r="O13" s="1064" t="s">
        <v>669</v>
      </c>
      <c r="P13" s="1060"/>
      <c r="Q13" s="1064" t="s">
        <v>667</v>
      </c>
      <c r="R13" s="1064" t="s">
        <v>668</v>
      </c>
      <c r="S13" s="1064" t="s">
        <v>669</v>
      </c>
    </row>
    <row r="14" spans="1:19">
      <c r="A14" s="1043"/>
      <c r="B14" s="1027"/>
      <c r="C14" s="1027"/>
      <c r="D14" s="1027"/>
      <c r="E14" s="1027"/>
      <c r="F14" s="1027"/>
      <c r="G14" s="1027"/>
      <c r="H14" s="1027"/>
      <c r="I14" s="1027"/>
      <c r="J14" s="1027"/>
      <c r="K14" s="1027"/>
      <c r="L14" s="1027"/>
      <c r="M14" s="1027"/>
      <c r="N14" s="1027"/>
      <c r="O14" s="1027"/>
      <c r="P14" s="1027"/>
      <c r="Q14" s="1027"/>
      <c r="R14" s="1027"/>
      <c r="S14" s="1027"/>
    </row>
    <row r="15" spans="1:19">
      <c r="A15" s="1058">
        <v>1</v>
      </c>
      <c r="B15" s="1023" t="s">
        <v>670</v>
      </c>
      <c r="C15" s="1035"/>
      <c r="D15" s="1035"/>
      <c r="E15" s="1035"/>
      <c r="F15" s="1036"/>
      <c r="G15" s="1035"/>
      <c r="H15" s="1035"/>
      <c r="I15" s="1035"/>
      <c r="J15" s="1035"/>
      <c r="K15" s="1035"/>
      <c r="L15" s="1035"/>
      <c r="M15" s="1035"/>
      <c r="N15" s="1035"/>
      <c r="O15" s="1035"/>
      <c r="P15" s="1035"/>
      <c r="Q15" s="1035"/>
      <c r="R15" s="1035"/>
      <c r="S15" s="1035"/>
    </row>
    <row r="16" spans="1:19">
      <c r="A16" s="1058">
        <v>2.0099999999999998</v>
      </c>
      <c r="B16" s="1023"/>
      <c r="C16" s="1035"/>
      <c r="D16" s="1035"/>
      <c r="E16" s="1035"/>
      <c r="F16" s="1035"/>
      <c r="G16" s="1035"/>
      <c r="H16" s="1035"/>
      <c r="I16" s="1035"/>
      <c r="J16" s="1035"/>
      <c r="K16" s="1035"/>
      <c r="L16" s="1035"/>
      <c r="M16" s="1035"/>
      <c r="N16" s="1035"/>
      <c r="O16" s="1035"/>
      <c r="P16" s="1035"/>
      <c r="Q16" s="1035"/>
      <c r="R16" s="1035"/>
      <c r="S16" s="1035"/>
    </row>
    <row r="17" spans="1:19">
      <c r="A17" s="1058">
        <v>2.02</v>
      </c>
      <c r="B17" s="1023"/>
      <c r="C17" s="1035">
        <f>SUM(M17:O17)</f>
        <v>0</v>
      </c>
      <c r="D17" s="1035">
        <f>SUM(Q17:S17)</f>
        <v>0</v>
      </c>
      <c r="E17" s="1035"/>
      <c r="F17" s="1035"/>
      <c r="G17" s="1035">
        <f>ROUND(SUM(C17:F17)/2,0)</f>
        <v>0</v>
      </c>
      <c r="H17" s="1035"/>
      <c r="I17" s="1035">
        <f>(M17+Q17)/2</f>
        <v>0</v>
      </c>
      <c r="J17" s="1035">
        <f>(N17+R17)/2</f>
        <v>0</v>
      </c>
      <c r="K17" s="1035">
        <f>(O17+S17)/2</f>
        <v>0</v>
      </c>
      <c r="L17" s="1035"/>
      <c r="M17" s="1023"/>
      <c r="N17" s="1023"/>
      <c r="O17" s="1023"/>
      <c r="P17" s="1035"/>
      <c r="Q17" s="1023"/>
      <c r="R17" s="1023"/>
      <c r="S17" s="1023"/>
    </row>
    <row r="18" spans="1:19">
      <c r="A18" s="1058">
        <v>2.0299999999999998</v>
      </c>
      <c r="B18" s="1023"/>
      <c r="C18" s="1035"/>
      <c r="D18" s="1035"/>
      <c r="E18" s="1035"/>
      <c r="F18" s="1035"/>
      <c r="G18" s="1035"/>
      <c r="H18" s="1035"/>
      <c r="I18" s="1035"/>
      <c r="J18" s="1035"/>
      <c r="K18" s="1035"/>
      <c r="L18" s="1035"/>
      <c r="M18" s="1035"/>
      <c r="N18" s="1035"/>
      <c r="O18" s="1035"/>
      <c r="P18" s="1035"/>
      <c r="Q18" s="1035"/>
      <c r="R18" s="1035"/>
      <c r="S18" s="1035"/>
    </row>
    <row r="19" spans="1:19">
      <c r="A19" s="1058">
        <v>2.04</v>
      </c>
      <c r="B19" s="1023"/>
      <c r="C19" s="1035">
        <v>0</v>
      </c>
      <c r="D19" s="1035">
        <v>0</v>
      </c>
      <c r="E19" s="1035">
        <f t="shared" ref="E19:F21" si="0">-C19</f>
        <v>0</v>
      </c>
      <c r="F19" s="1035">
        <f t="shared" si="0"/>
        <v>0</v>
      </c>
      <c r="G19" s="1035">
        <f>ROUND(SUM(C19:F19)/2,0)</f>
        <v>0</v>
      </c>
      <c r="H19" s="1035"/>
      <c r="I19" s="1035"/>
      <c r="J19" s="1035"/>
      <c r="K19" s="1035"/>
      <c r="L19" s="1035"/>
      <c r="M19" s="1035"/>
      <c r="N19" s="1035"/>
      <c r="O19" s="1035"/>
      <c r="P19" s="1035"/>
      <c r="Q19" s="1035"/>
      <c r="R19" s="1035"/>
      <c r="S19" s="1035"/>
    </row>
    <row r="20" spans="1:19">
      <c r="A20" s="1058">
        <v>2.0499999999999998</v>
      </c>
      <c r="B20" s="1023"/>
      <c r="C20" s="1035">
        <v>0</v>
      </c>
      <c r="D20" s="1035">
        <v>0</v>
      </c>
      <c r="E20" s="1035">
        <f t="shared" si="0"/>
        <v>0</v>
      </c>
      <c r="F20" s="1035">
        <f t="shared" si="0"/>
        <v>0</v>
      </c>
      <c r="G20" s="1035">
        <f>ROUND(SUM(C20:F20)/2,0)</f>
        <v>0</v>
      </c>
      <c r="H20" s="1035"/>
      <c r="I20" s="1035"/>
      <c r="J20" s="1035"/>
      <c r="K20" s="1035"/>
      <c r="L20" s="1035"/>
      <c r="M20" s="1035"/>
      <c r="N20" s="1035"/>
      <c r="O20" s="1035"/>
      <c r="P20" s="1035"/>
      <c r="Q20" s="1035"/>
      <c r="R20" s="1035"/>
      <c r="S20" s="1035"/>
    </row>
    <row r="21" spans="1:19">
      <c r="A21" s="1058">
        <v>2.06</v>
      </c>
      <c r="B21" s="1023"/>
      <c r="C21" s="1035">
        <v>0</v>
      </c>
      <c r="D21" s="1035">
        <v>0</v>
      </c>
      <c r="E21" s="1035">
        <f t="shared" si="0"/>
        <v>0</v>
      </c>
      <c r="F21" s="1035">
        <f t="shared" si="0"/>
        <v>0</v>
      </c>
      <c r="G21" s="1035">
        <f>ROUND(SUM(C21:F21)/2,0)</f>
        <v>0</v>
      </c>
      <c r="H21" s="1035"/>
      <c r="I21" s="1035"/>
      <c r="J21" s="1035"/>
      <c r="K21" s="1035"/>
      <c r="L21" s="1035"/>
      <c r="M21" s="1035"/>
      <c r="N21" s="1035"/>
      <c r="O21" s="1035"/>
      <c r="P21" s="1035"/>
      <c r="Q21" s="1035"/>
      <c r="R21" s="1035"/>
      <c r="S21" s="1035"/>
    </row>
    <row r="22" spans="1:19">
      <c r="A22" s="1044"/>
      <c r="B22" s="1027"/>
      <c r="C22" s="1035"/>
      <c r="D22" s="1035"/>
      <c r="E22" s="1035"/>
      <c r="F22" s="1035"/>
      <c r="G22" s="1035"/>
      <c r="H22" s="1035"/>
      <c r="I22" s="1035"/>
      <c r="J22" s="1035"/>
      <c r="K22" s="1035"/>
      <c r="L22" s="1035"/>
      <c r="M22" s="1035"/>
      <c r="N22" s="1035"/>
      <c r="O22" s="1035"/>
      <c r="P22" s="1035"/>
      <c r="Q22" s="1035"/>
      <c r="R22" s="1035"/>
      <c r="S22" s="1035"/>
    </row>
    <row r="23" spans="1:19" ht="13.5" thickBot="1">
      <c r="A23" s="1044">
        <v>3</v>
      </c>
      <c r="B23" s="1024" t="s">
        <v>671</v>
      </c>
      <c r="C23" s="1037">
        <f>SUM(C17:C22)</f>
        <v>0</v>
      </c>
      <c r="D23" s="1037">
        <f>SUM(D17:D22)</f>
        <v>0</v>
      </c>
      <c r="E23" s="1037">
        <f>SUM(E17:E22)</f>
        <v>0</v>
      </c>
      <c r="F23" s="1037">
        <f>SUM(F17:F22)</f>
        <v>0</v>
      </c>
      <c r="G23" s="1037">
        <f>SUM(G17:G22)</f>
        <v>0</v>
      </c>
      <c r="H23" s="1035"/>
      <c r="I23" s="1037">
        <f>SUM(I17:I22)</f>
        <v>0</v>
      </c>
      <c r="J23" s="1037">
        <f>SUM(J17:J22)</f>
        <v>0</v>
      </c>
      <c r="K23" s="1037">
        <f>SUM(K17:K22)</f>
        <v>0</v>
      </c>
      <c r="L23" s="1035"/>
      <c r="M23" s="1037">
        <f>SUM(M17:M22)</f>
        <v>0</v>
      </c>
      <c r="N23" s="1037">
        <f>SUM(N17:N22)</f>
        <v>0</v>
      </c>
      <c r="O23" s="1037">
        <f>SUM(O17:O22)</f>
        <v>0</v>
      </c>
      <c r="P23" s="1035"/>
      <c r="Q23" s="1037">
        <f>SUM(Q17:Q22)</f>
        <v>0</v>
      </c>
      <c r="R23" s="1037">
        <f>SUM(R17:R22)</f>
        <v>0</v>
      </c>
      <c r="S23" s="1037">
        <f>SUM(S17:S22)</f>
        <v>0</v>
      </c>
    </row>
    <row r="24" spans="1:19" ht="13.5" thickTop="1">
      <c r="A24" s="1044">
        <f>A23+1</f>
        <v>4</v>
      </c>
      <c r="B24" s="1027" t="s">
        <v>672</v>
      </c>
      <c r="C24" s="1055">
        <v>0</v>
      </c>
      <c r="D24" s="1055">
        <v>0</v>
      </c>
      <c r="E24" s="1055">
        <v>0</v>
      </c>
      <c r="F24" s="1055">
        <v>0</v>
      </c>
      <c r="G24" s="1055">
        <v>0</v>
      </c>
      <c r="H24" s="1056"/>
      <c r="I24" s="1055">
        <v>0</v>
      </c>
      <c r="J24" s="1055">
        <v>0</v>
      </c>
      <c r="K24" s="1055">
        <v>0</v>
      </c>
      <c r="L24" s="1056"/>
      <c r="M24" s="1055">
        <v>0</v>
      </c>
      <c r="N24" s="1055">
        <v>0</v>
      </c>
      <c r="O24" s="1055">
        <v>0</v>
      </c>
      <c r="P24" s="1056"/>
      <c r="Q24" s="1055">
        <v>0</v>
      </c>
      <c r="R24" s="1055">
        <v>0</v>
      </c>
      <c r="S24" s="1055">
        <v>0</v>
      </c>
    </row>
    <row r="25" spans="1:19">
      <c r="A25" s="1044"/>
      <c r="B25" s="1027"/>
      <c r="C25" s="1035"/>
      <c r="D25" s="1035"/>
      <c r="E25" s="1035"/>
      <c r="F25" s="1035"/>
      <c r="G25" s="1035"/>
      <c r="H25" s="1035"/>
      <c r="I25" s="1035"/>
      <c r="J25" s="1035"/>
      <c r="K25" s="1035"/>
      <c r="L25" s="1035"/>
      <c r="M25" s="1035"/>
      <c r="N25" s="1035"/>
      <c r="O25" s="1035"/>
      <c r="P25" s="1035"/>
      <c r="Q25" s="1035"/>
      <c r="R25" s="1035"/>
      <c r="S25" s="1035"/>
    </row>
    <row r="26" spans="1:19">
      <c r="A26" s="1044">
        <v>5</v>
      </c>
      <c r="B26" s="1024" t="s">
        <v>673</v>
      </c>
      <c r="C26" s="1035"/>
      <c r="D26" s="1035"/>
      <c r="E26" s="1035"/>
      <c r="F26" s="1035"/>
      <c r="G26" s="1035"/>
      <c r="H26" s="1035"/>
      <c r="I26" s="1035"/>
      <c r="J26" s="1035"/>
      <c r="K26" s="1035"/>
      <c r="L26" s="1035"/>
      <c r="M26" s="1035"/>
      <c r="N26" s="1035"/>
      <c r="O26" s="1035"/>
      <c r="P26" s="1035"/>
      <c r="Q26" s="1035"/>
      <c r="R26" s="1035"/>
      <c r="S26" s="1035"/>
    </row>
    <row r="27" spans="1:19">
      <c r="A27" s="1057"/>
      <c r="B27" s="1027"/>
      <c r="C27" s="1035"/>
      <c r="D27" s="1035"/>
      <c r="E27" s="1035"/>
      <c r="F27" s="1035"/>
      <c r="G27" s="1035"/>
      <c r="H27" s="1035"/>
      <c r="I27" s="1035"/>
      <c r="J27" s="1035"/>
      <c r="K27" s="1035"/>
      <c r="L27" s="1035"/>
      <c r="M27" s="1035"/>
      <c r="N27" s="1035"/>
      <c r="O27" s="1035"/>
      <c r="P27" s="1035"/>
      <c r="Q27" s="1035"/>
      <c r="R27" s="1035"/>
      <c r="S27" s="1035"/>
    </row>
    <row r="28" spans="1:19">
      <c r="A28" s="1058">
        <v>5.01</v>
      </c>
      <c r="B28" s="1023"/>
      <c r="C28" s="1035">
        <f t="shared" ref="C28:C64" si="1">SUM(M28:O28)</f>
        <v>0</v>
      </c>
      <c r="D28" s="1035">
        <f t="shared" ref="D28:D64" si="2">SUM(Q28:S28)</f>
        <v>0</v>
      </c>
      <c r="E28" s="1035"/>
      <c r="F28" s="1035"/>
      <c r="G28" s="1035">
        <f t="shared" ref="G28:G50" si="3">ROUND(SUM(C28:F28)/2,0)</f>
        <v>0</v>
      </c>
      <c r="H28" s="1035"/>
      <c r="I28" s="1035">
        <f t="shared" ref="I28:K65" si="4">(M28+Q28)/2</f>
        <v>0</v>
      </c>
      <c r="J28" s="1035">
        <f t="shared" si="4"/>
        <v>0</v>
      </c>
      <c r="K28" s="1035">
        <f t="shared" si="4"/>
        <v>0</v>
      </c>
      <c r="L28" s="1035"/>
      <c r="M28" s="1023"/>
      <c r="N28" s="1023"/>
      <c r="O28" s="1023"/>
      <c r="P28" s="1035"/>
      <c r="Q28" s="1023"/>
      <c r="R28" s="1023"/>
      <c r="S28" s="1023"/>
    </row>
    <row r="29" spans="1:19">
      <c r="A29" s="1058">
        <f>A28+0.01</f>
        <v>5.0199999999999996</v>
      </c>
      <c r="B29" s="1023"/>
      <c r="C29" s="1035">
        <f>SUM(M29:O29)</f>
        <v>0</v>
      </c>
      <c r="D29" s="1035">
        <f>SUM(Q29:S29)</f>
        <v>0</v>
      </c>
      <c r="E29" s="1035"/>
      <c r="F29" s="1035"/>
      <c r="G29" s="1035">
        <f t="shared" si="3"/>
        <v>0</v>
      </c>
      <c r="H29" s="1035"/>
      <c r="I29" s="1035">
        <f t="shared" si="4"/>
        <v>0</v>
      </c>
      <c r="J29" s="1035">
        <f t="shared" si="4"/>
        <v>0</v>
      </c>
      <c r="K29" s="1035">
        <f t="shared" si="4"/>
        <v>0</v>
      </c>
      <c r="L29" s="1035"/>
      <c r="M29" s="1023"/>
      <c r="N29" s="1023"/>
      <c r="O29" s="1023"/>
      <c r="P29" s="1035"/>
      <c r="Q29" s="1023"/>
      <c r="R29" s="1023"/>
      <c r="S29" s="1023"/>
    </row>
    <row r="30" spans="1:19">
      <c r="A30" s="1058">
        <f t="shared" ref="A30:A68" si="5">A29+0.01</f>
        <v>5.0299999999999994</v>
      </c>
      <c r="B30" s="1023"/>
      <c r="C30" s="1035">
        <f t="shared" si="1"/>
        <v>0</v>
      </c>
      <c r="D30" s="1035">
        <f t="shared" si="2"/>
        <v>0</v>
      </c>
      <c r="E30" s="1035"/>
      <c r="F30" s="1035"/>
      <c r="G30" s="1035">
        <f t="shared" si="3"/>
        <v>0</v>
      </c>
      <c r="H30" s="1035"/>
      <c r="I30" s="1035">
        <f t="shared" si="4"/>
        <v>0</v>
      </c>
      <c r="J30" s="1035">
        <f t="shared" si="4"/>
        <v>0</v>
      </c>
      <c r="K30" s="1035">
        <f t="shared" si="4"/>
        <v>0</v>
      </c>
      <c r="L30" s="1035"/>
      <c r="M30" s="1065"/>
      <c r="N30" s="1065"/>
      <c r="O30" s="1023"/>
      <c r="P30" s="1035"/>
      <c r="Q30" s="1065"/>
      <c r="R30" s="1065"/>
      <c r="S30" s="1023"/>
    </row>
    <row r="31" spans="1:19">
      <c r="A31" s="1058">
        <f t="shared" si="5"/>
        <v>5.0399999999999991</v>
      </c>
      <c r="B31" s="1023"/>
      <c r="C31" s="1035">
        <f>SUM(M31:O31)</f>
        <v>0</v>
      </c>
      <c r="D31" s="1035">
        <f>SUM(Q31:S31)</f>
        <v>0</v>
      </c>
      <c r="E31" s="1035"/>
      <c r="F31" s="1035"/>
      <c r="G31" s="1035">
        <f t="shared" si="3"/>
        <v>0</v>
      </c>
      <c r="H31" s="1035"/>
      <c r="I31" s="1035">
        <f t="shared" si="4"/>
        <v>0</v>
      </c>
      <c r="J31" s="1035">
        <f t="shared" si="4"/>
        <v>0</v>
      </c>
      <c r="K31" s="1035">
        <f t="shared" si="4"/>
        <v>0</v>
      </c>
      <c r="L31" s="1035"/>
      <c r="M31" s="1023"/>
      <c r="N31" s="1023"/>
      <c r="O31" s="1023"/>
      <c r="P31" s="1035"/>
      <c r="Q31" s="1023"/>
      <c r="R31" s="1023"/>
      <c r="S31" s="1023"/>
    </row>
    <row r="32" spans="1:19">
      <c r="A32" s="1058">
        <f t="shared" si="5"/>
        <v>5.0499999999999989</v>
      </c>
      <c r="B32" s="1023"/>
      <c r="C32" s="1035">
        <f t="shared" si="1"/>
        <v>0</v>
      </c>
      <c r="D32" s="1035">
        <f t="shared" si="2"/>
        <v>0</v>
      </c>
      <c r="E32" s="1035"/>
      <c r="F32" s="1035"/>
      <c r="G32" s="1035">
        <f t="shared" si="3"/>
        <v>0</v>
      </c>
      <c r="H32" s="1035"/>
      <c r="I32" s="1035">
        <f t="shared" si="4"/>
        <v>0</v>
      </c>
      <c r="J32" s="1035">
        <f t="shared" si="4"/>
        <v>0</v>
      </c>
      <c r="K32" s="1035">
        <f t="shared" si="4"/>
        <v>0</v>
      </c>
      <c r="L32" s="1035"/>
      <c r="M32" s="1023"/>
      <c r="N32" s="1023"/>
      <c r="O32" s="1023"/>
      <c r="P32" s="1035"/>
      <c r="Q32" s="1023"/>
      <c r="R32" s="1023"/>
      <c r="S32" s="1023"/>
    </row>
    <row r="33" spans="1:19">
      <c r="A33" s="1058">
        <f t="shared" si="5"/>
        <v>5.0599999999999987</v>
      </c>
      <c r="B33" s="1023"/>
      <c r="C33" s="1035">
        <f t="shared" ref="C33:C39" si="6">SUM(M33:O33)</f>
        <v>0</v>
      </c>
      <c r="D33" s="1035">
        <f t="shared" ref="D33:D39" si="7">SUM(Q33:S33)</f>
        <v>0</v>
      </c>
      <c r="E33" s="1035"/>
      <c r="F33" s="1035"/>
      <c r="G33" s="1035">
        <f t="shared" si="3"/>
        <v>0</v>
      </c>
      <c r="H33" s="1035"/>
      <c r="I33" s="1035">
        <f t="shared" si="4"/>
        <v>0</v>
      </c>
      <c r="J33" s="1035">
        <f t="shared" si="4"/>
        <v>0</v>
      </c>
      <c r="K33" s="1035">
        <f t="shared" si="4"/>
        <v>0</v>
      </c>
      <c r="L33" s="1035"/>
      <c r="M33" s="1023"/>
      <c r="N33" s="1023"/>
      <c r="O33" s="1023"/>
      <c r="P33" s="1035"/>
      <c r="Q33" s="1023"/>
      <c r="R33" s="1023"/>
      <c r="S33" s="1023"/>
    </row>
    <row r="34" spans="1:19">
      <c r="A34" s="1058">
        <f t="shared" si="5"/>
        <v>5.0699999999999985</v>
      </c>
      <c r="B34" s="1023"/>
      <c r="C34" s="1039">
        <f t="shared" si="6"/>
        <v>0</v>
      </c>
      <c r="D34" s="1039">
        <f t="shared" si="7"/>
        <v>0</v>
      </c>
      <c r="E34" s="1039"/>
      <c r="F34" s="1039"/>
      <c r="G34" s="1039">
        <f t="shared" si="3"/>
        <v>0</v>
      </c>
      <c r="H34" s="1039"/>
      <c r="I34" s="1039">
        <f t="shared" si="4"/>
        <v>0</v>
      </c>
      <c r="J34" s="1039">
        <f t="shared" si="4"/>
        <v>0</v>
      </c>
      <c r="K34" s="1039">
        <f t="shared" si="4"/>
        <v>0</v>
      </c>
      <c r="L34" s="1039"/>
      <c r="M34" s="1023"/>
      <c r="N34" s="1065"/>
      <c r="O34" s="1023"/>
      <c r="P34" s="1035"/>
      <c r="Q34" s="1065"/>
      <c r="R34" s="1065"/>
      <c r="S34" s="1023"/>
    </row>
    <row r="35" spans="1:19">
      <c r="A35" s="1058">
        <f t="shared" si="5"/>
        <v>5.0799999999999983</v>
      </c>
      <c r="B35" s="1023"/>
      <c r="C35" s="1039">
        <f t="shared" si="6"/>
        <v>0</v>
      </c>
      <c r="D35" s="1039">
        <f t="shared" si="7"/>
        <v>0</v>
      </c>
      <c r="E35" s="1039"/>
      <c r="F35" s="1039"/>
      <c r="G35" s="1039">
        <f t="shared" si="3"/>
        <v>0</v>
      </c>
      <c r="H35" s="1039"/>
      <c r="I35" s="1039">
        <f t="shared" si="4"/>
        <v>0</v>
      </c>
      <c r="J35" s="1039">
        <f t="shared" si="4"/>
        <v>0</v>
      </c>
      <c r="K35" s="1039">
        <f t="shared" si="4"/>
        <v>0</v>
      </c>
      <c r="L35" s="1039"/>
      <c r="M35" s="1023"/>
      <c r="N35" s="1023"/>
      <c r="O35" s="1023"/>
      <c r="P35" s="1039"/>
      <c r="Q35" s="1023"/>
      <c r="R35" s="1023"/>
      <c r="S35" s="1023"/>
    </row>
    <row r="36" spans="1:19">
      <c r="A36" s="1058">
        <f t="shared" si="5"/>
        <v>5.0899999999999981</v>
      </c>
      <c r="B36" s="1023"/>
      <c r="C36" s="1035">
        <f>SUM(M36:O36)</f>
        <v>0</v>
      </c>
      <c r="D36" s="1035">
        <f t="shared" si="7"/>
        <v>0</v>
      </c>
      <c r="E36" s="1035"/>
      <c r="F36" s="1035"/>
      <c r="G36" s="1035">
        <f>ROUND(SUM(C36:F36)/2,0)</f>
        <v>0</v>
      </c>
      <c r="H36" s="1035"/>
      <c r="I36" s="1035">
        <f t="shared" si="4"/>
        <v>0</v>
      </c>
      <c r="J36" s="1035">
        <f t="shared" si="4"/>
        <v>0</v>
      </c>
      <c r="K36" s="1035">
        <f t="shared" si="4"/>
        <v>0</v>
      </c>
      <c r="L36" s="1035"/>
      <c r="M36" s="1023"/>
      <c r="N36" s="1023"/>
      <c r="O36" s="1023"/>
      <c r="P36" s="1035"/>
      <c r="Q36" s="1023"/>
      <c r="R36" s="1023"/>
      <c r="S36" s="1023"/>
    </row>
    <row r="37" spans="1:19">
      <c r="A37" s="1058">
        <f t="shared" si="5"/>
        <v>5.0999999999999979</v>
      </c>
      <c r="B37" s="1023"/>
      <c r="C37" s="1035">
        <f t="shared" si="6"/>
        <v>0</v>
      </c>
      <c r="D37" s="1035">
        <f t="shared" si="7"/>
        <v>0</v>
      </c>
      <c r="E37" s="1035"/>
      <c r="F37" s="1035"/>
      <c r="G37" s="1035">
        <f t="shared" si="3"/>
        <v>0</v>
      </c>
      <c r="H37" s="1035"/>
      <c r="I37" s="1035">
        <f t="shared" si="4"/>
        <v>0</v>
      </c>
      <c r="J37" s="1035">
        <f t="shared" si="4"/>
        <v>0</v>
      </c>
      <c r="K37" s="1035">
        <f t="shared" si="4"/>
        <v>0</v>
      </c>
      <c r="L37" s="1035"/>
      <c r="M37" s="1023"/>
      <c r="N37" s="1023"/>
      <c r="O37" s="1023"/>
      <c r="P37" s="1035"/>
      <c r="Q37" s="1023"/>
      <c r="R37" s="1023"/>
      <c r="S37" s="1023"/>
    </row>
    <row r="38" spans="1:19">
      <c r="A38" s="1058">
        <f t="shared" si="5"/>
        <v>5.1099999999999977</v>
      </c>
      <c r="B38" s="1023"/>
      <c r="C38" s="1035">
        <f t="shared" si="6"/>
        <v>0</v>
      </c>
      <c r="D38" s="1035">
        <f t="shared" si="7"/>
        <v>0</v>
      </c>
      <c r="E38" s="1035"/>
      <c r="F38" s="1035"/>
      <c r="G38" s="1035">
        <f t="shared" si="3"/>
        <v>0</v>
      </c>
      <c r="H38" s="1035"/>
      <c r="I38" s="1035">
        <f t="shared" si="4"/>
        <v>0</v>
      </c>
      <c r="J38" s="1035">
        <f t="shared" si="4"/>
        <v>0</v>
      </c>
      <c r="K38" s="1035">
        <f t="shared" si="4"/>
        <v>0</v>
      </c>
      <c r="L38" s="1035"/>
      <c r="M38" s="1023"/>
      <c r="N38" s="1023"/>
      <c r="O38" s="1023"/>
      <c r="P38" s="1035"/>
      <c r="Q38" s="1023"/>
      <c r="R38" s="1023"/>
      <c r="S38" s="1023"/>
    </row>
    <row r="39" spans="1:19">
      <c r="A39" s="1058">
        <f t="shared" si="5"/>
        <v>5.1199999999999974</v>
      </c>
      <c r="B39" s="1023"/>
      <c r="C39" s="1035">
        <f t="shared" si="6"/>
        <v>0</v>
      </c>
      <c r="D39" s="1035">
        <f t="shared" si="7"/>
        <v>0</v>
      </c>
      <c r="E39" s="1035"/>
      <c r="F39" s="1035"/>
      <c r="G39" s="1035">
        <f t="shared" si="3"/>
        <v>0</v>
      </c>
      <c r="H39" s="1035"/>
      <c r="I39" s="1035">
        <f t="shared" si="4"/>
        <v>0</v>
      </c>
      <c r="J39" s="1035">
        <f t="shared" si="4"/>
        <v>0</v>
      </c>
      <c r="K39" s="1035">
        <f t="shared" si="4"/>
        <v>0</v>
      </c>
      <c r="L39" s="1035"/>
      <c r="M39" s="1023"/>
      <c r="N39" s="1023"/>
      <c r="O39" s="1023"/>
      <c r="P39" s="1035"/>
      <c r="Q39" s="1023"/>
      <c r="R39" s="1023"/>
      <c r="S39" s="1023"/>
    </row>
    <row r="40" spans="1:19">
      <c r="A40" s="1058">
        <f t="shared" si="5"/>
        <v>5.1299999999999972</v>
      </c>
      <c r="B40" s="1023"/>
      <c r="C40" s="1035">
        <f t="shared" si="1"/>
        <v>0</v>
      </c>
      <c r="D40" s="1035">
        <f t="shared" si="2"/>
        <v>0</v>
      </c>
      <c r="E40" s="1035"/>
      <c r="F40" s="1035"/>
      <c r="G40" s="1035">
        <f t="shared" si="3"/>
        <v>0</v>
      </c>
      <c r="H40" s="1035"/>
      <c r="I40" s="1035">
        <f t="shared" si="4"/>
        <v>0</v>
      </c>
      <c r="J40" s="1035">
        <f t="shared" si="4"/>
        <v>0</v>
      </c>
      <c r="K40" s="1035">
        <f t="shared" si="4"/>
        <v>0</v>
      </c>
      <c r="L40" s="1035"/>
      <c r="M40" s="1023"/>
      <c r="N40" s="1023"/>
      <c r="O40" s="1023"/>
      <c r="P40" s="1035"/>
      <c r="Q40" s="1023"/>
      <c r="R40" s="1023"/>
      <c r="S40" s="1023"/>
    </row>
    <row r="41" spans="1:19">
      <c r="A41" s="1058">
        <f t="shared" si="5"/>
        <v>5.139999999999997</v>
      </c>
      <c r="B41" s="1023"/>
      <c r="C41" s="1035">
        <f t="shared" si="1"/>
        <v>0</v>
      </c>
      <c r="D41" s="1035">
        <f t="shared" si="2"/>
        <v>0</v>
      </c>
      <c r="E41" s="1035"/>
      <c r="F41" s="1035"/>
      <c r="G41" s="1035">
        <f t="shared" si="3"/>
        <v>0</v>
      </c>
      <c r="H41" s="1035"/>
      <c r="I41" s="1035">
        <f t="shared" si="4"/>
        <v>0</v>
      </c>
      <c r="J41" s="1035">
        <f t="shared" si="4"/>
        <v>0</v>
      </c>
      <c r="K41" s="1035">
        <f t="shared" si="4"/>
        <v>0</v>
      </c>
      <c r="L41" s="1035"/>
      <c r="M41" s="1023"/>
      <c r="N41" s="1023"/>
      <c r="O41" s="1023"/>
      <c r="P41" s="1035"/>
      <c r="Q41" s="1023"/>
      <c r="R41" s="1023"/>
      <c r="S41" s="1023"/>
    </row>
    <row r="42" spans="1:19">
      <c r="A42" s="1058">
        <f t="shared" si="5"/>
        <v>5.1499999999999968</v>
      </c>
      <c r="B42" s="1023"/>
      <c r="C42" s="1035">
        <f t="shared" si="1"/>
        <v>0</v>
      </c>
      <c r="D42" s="1035">
        <f t="shared" si="2"/>
        <v>0</v>
      </c>
      <c r="E42" s="1035"/>
      <c r="F42" s="1035"/>
      <c r="G42" s="1035">
        <f t="shared" si="3"/>
        <v>0</v>
      </c>
      <c r="H42" s="1035"/>
      <c r="I42" s="1035">
        <f t="shared" si="4"/>
        <v>0</v>
      </c>
      <c r="J42" s="1035">
        <f t="shared" si="4"/>
        <v>0</v>
      </c>
      <c r="K42" s="1035">
        <f t="shared" si="4"/>
        <v>0</v>
      </c>
      <c r="L42" s="1035"/>
      <c r="M42" s="1023"/>
      <c r="N42" s="1023"/>
      <c r="O42" s="1023"/>
      <c r="P42" s="1035"/>
      <c r="Q42" s="1023"/>
      <c r="R42" s="1023"/>
      <c r="S42" s="1023"/>
    </row>
    <row r="43" spans="1:19">
      <c r="A43" s="1058">
        <f t="shared" si="5"/>
        <v>5.1599999999999966</v>
      </c>
      <c r="B43" s="1023"/>
      <c r="C43" s="1035">
        <f t="shared" si="1"/>
        <v>0</v>
      </c>
      <c r="D43" s="1035">
        <f t="shared" si="2"/>
        <v>0</v>
      </c>
      <c r="E43" s="1035"/>
      <c r="F43" s="1035"/>
      <c r="G43" s="1035">
        <f t="shared" si="3"/>
        <v>0</v>
      </c>
      <c r="H43" s="1035"/>
      <c r="I43" s="1035">
        <f t="shared" si="4"/>
        <v>0</v>
      </c>
      <c r="J43" s="1035">
        <f t="shared" si="4"/>
        <v>0</v>
      </c>
      <c r="K43" s="1035">
        <f t="shared" si="4"/>
        <v>0</v>
      </c>
      <c r="L43" s="1035"/>
      <c r="M43" s="1023"/>
      <c r="N43" s="1023"/>
      <c r="O43" s="1023"/>
      <c r="P43" s="1035"/>
      <c r="Q43" s="1023"/>
      <c r="R43" s="1023"/>
      <c r="S43" s="1023"/>
    </row>
    <row r="44" spans="1:19">
      <c r="A44" s="1058">
        <f t="shared" si="5"/>
        <v>5.1699999999999964</v>
      </c>
      <c r="B44" s="1023"/>
      <c r="C44" s="1035">
        <f t="shared" si="1"/>
        <v>0</v>
      </c>
      <c r="D44" s="1035">
        <f t="shared" si="2"/>
        <v>0</v>
      </c>
      <c r="E44" s="1035"/>
      <c r="F44" s="1035"/>
      <c r="G44" s="1035">
        <f t="shared" si="3"/>
        <v>0</v>
      </c>
      <c r="H44" s="1035"/>
      <c r="I44" s="1035">
        <f t="shared" si="4"/>
        <v>0</v>
      </c>
      <c r="J44" s="1035">
        <f t="shared" si="4"/>
        <v>0</v>
      </c>
      <c r="K44" s="1035">
        <f t="shared" si="4"/>
        <v>0</v>
      </c>
      <c r="L44" s="1035"/>
      <c r="M44" s="1023"/>
      <c r="N44" s="1023"/>
      <c r="O44" s="1023"/>
      <c r="P44" s="1035"/>
      <c r="Q44" s="1023"/>
      <c r="R44" s="1023"/>
      <c r="S44" s="1023"/>
    </row>
    <row r="45" spans="1:19">
      <c r="A45" s="1058">
        <f t="shared" si="5"/>
        <v>5.1799999999999962</v>
      </c>
      <c r="B45" s="1023"/>
      <c r="C45" s="1035">
        <f t="shared" si="1"/>
        <v>0</v>
      </c>
      <c r="D45" s="1035">
        <f t="shared" si="2"/>
        <v>0</v>
      </c>
      <c r="E45" s="1035"/>
      <c r="F45" s="1035"/>
      <c r="G45" s="1035">
        <f t="shared" si="3"/>
        <v>0</v>
      </c>
      <c r="H45" s="1035"/>
      <c r="I45" s="1035">
        <f t="shared" si="4"/>
        <v>0</v>
      </c>
      <c r="J45" s="1035">
        <f t="shared" si="4"/>
        <v>0</v>
      </c>
      <c r="K45" s="1035">
        <f t="shared" si="4"/>
        <v>0</v>
      </c>
      <c r="L45" s="1035"/>
      <c r="M45" s="1023"/>
      <c r="N45" s="1023"/>
      <c r="O45" s="1023"/>
      <c r="P45" s="1035"/>
      <c r="Q45" s="1023"/>
      <c r="R45" s="1023"/>
      <c r="S45" s="1023"/>
    </row>
    <row r="46" spans="1:19">
      <c r="A46" s="1058">
        <f t="shared" si="5"/>
        <v>5.1899999999999959</v>
      </c>
      <c r="B46" s="1023"/>
      <c r="C46" s="1035">
        <f t="shared" si="1"/>
        <v>0</v>
      </c>
      <c r="D46" s="1035">
        <f t="shared" si="2"/>
        <v>0</v>
      </c>
      <c r="E46" s="1035"/>
      <c r="F46" s="1035"/>
      <c r="G46" s="1035">
        <f t="shared" si="3"/>
        <v>0</v>
      </c>
      <c r="H46" s="1035"/>
      <c r="I46" s="1035">
        <f t="shared" si="4"/>
        <v>0</v>
      </c>
      <c r="J46" s="1035">
        <f t="shared" si="4"/>
        <v>0</v>
      </c>
      <c r="K46" s="1035">
        <f t="shared" si="4"/>
        <v>0</v>
      </c>
      <c r="L46" s="1035"/>
      <c r="M46" s="1023"/>
      <c r="N46" s="1023"/>
      <c r="O46" s="1023"/>
      <c r="P46" s="1035"/>
      <c r="Q46" s="1023"/>
      <c r="R46" s="1023"/>
      <c r="S46" s="1023"/>
    </row>
    <row r="47" spans="1:19">
      <c r="A47" s="1058">
        <f t="shared" si="5"/>
        <v>5.1999999999999957</v>
      </c>
      <c r="B47" s="1023"/>
      <c r="C47" s="1035">
        <f t="shared" si="1"/>
        <v>0</v>
      </c>
      <c r="D47" s="1035">
        <f t="shared" si="2"/>
        <v>0</v>
      </c>
      <c r="E47" s="1035"/>
      <c r="F47" s="1035"/>
      <c r="G47" s="1035">
        <f t="shared" si="3"/>
        <v>0</v>
      </c>
      <c r="H47" s="1035"/>
      <c r="I47" s="1035">
        <f t="shared" si="4"/>
        <v>0</v>
      </c>
      <c r="J47" s="1035">
        <f t="shared" si="4"/>
        <v>0</v>
      </c>
      <c r="K47" s="1035">
        <f t="shared" si="4"/>
        <v>0</v>
      </c>
      <c r="L47" s="1035"/>
      <c r="M47" s="1023"/>
      <c r="N47" s="1023"/>
      <c r="O47" s="1023"/>
      <c r="P47" s="1035"/>
      <c r="Q47" s="1023"/>
      <c r="R47" s="1023"/>
      <c r="S47" s="1023"/>
    </row>
    <row r="48" spans="1:19">
      <c r="A48" s="1058">
        <f t="shared" si="5"/>
        <v>5.2099999999999955</v>
      </c>
      <c r="B48" s="1023"/>
      <c r="C48" s="1035">
        <f t="shared" si="1"/>
        <v>0</v>
      </c>
      <c r="D48" s="1035">
        <f t="shared" si="2"/>
        <v>0</v>
      </c>
      <c r="E48" s="1035"/>
      <c r="F48" s="1035"/>
      <c r="G48" s="1035">
        <f t="shared" si="3"/>
        <v>0</v>
      </c>
      <c r="H48" s="1035"/>
      <c r="I48" s="1035">
        <f t="shared" si="4"/>
        <v>0</v>
      </c>
      <c r="J48" s="1035">
        <f t="shared" si="4"/>
        <v>0</v>
      </c>
      <c r="K48" s="1035">
        <f t="shared" si="4"/>
        <v>0</v>
      </c>
      <c r="L48" s="1035"/>
      <c r="M48" s="1023"/>
      <c r="N48" s="1023"/>
      <c r="O48" s="1023"/>
      <c r="P48" s="1035"/>
      <c r="Q48" s="1023"/>
      <c r="R48" s="1023"/>
      <c r="S48" s="1023"/>
    </row>
    <row r="49" spans="1:19">
      <c r="A49" s="1058">
        <f t="shared" si="5"/>
        <v>5.2199999999999953</v>
      </c>
      <c r="B49" s="1023"/>
      <c r="C49" s="1035">
        <f t="shared" ref="C49:C55" si="8">SUM(M49:O49)</f>
        <v>0</v>
      </c>
      <c r="D49" s="1035">
        <f t="shared" ref="D49:D55" si="9">SUM(Q49:S49)</f>
        <v>0</v>
      </c>
      <c r="E49" s="1035"/>
      <c r="F49" s="1035"/>
      <c r="G49" s="1035">
        <f t="shared" si="3"/>
        <v>0</v>
      </c>
      <c r="H49" s="1035"/>
      <c r="I49" s="1035">
        <f t="shared" si="4"/>
        <v>0</v>
      </c>
      <c r="J49" s="1035">
        <f t="shared" si="4"/>
        <v>0</v>
      </c>
      <c r="K49" s="1035">
        <f t="shared" si="4"/>
        <v>0</v>
      </c>
      <c r="L49" s="1035"/>
      <c r="M49" s="1023"/>
      <c r="N49" s="1023"/>
      <c r="O49" s="1023"/>
      <c r="P49" s="1035"/>
      <c r="Q49" s="1023"/>
      <c r="R49" s="1023"/>
      <c r="S49" s="1023"/>
    </row>
    <row r="50" spans="1:19">
      <c r="A50" s="1058">
        <f t="shared" si="5"/>
        <v>5.2299999999999951</v>
      </c>
      <c r="B50" s="1023"/>
      <c r="C50" s="1035">
        <f t="shared" si="8"/>
        <v>0</v>
      </c>
      <c r="D50" s="1035">
        <f t="shared" si="9"/>
        <v>0</v>
      </c>
      <c r="E50" s="1035"/>
      <c r="F50" s="1035"/>
      <c r="G50" s="1035">
        <f t="shared" si="3"/>
        <v>0</v>
      </c>
      <c r="H50" s="1035"/>
      <c r="I50" s="1035">
        <f t="shared" si="4"/>
        <v>0</v>
      </c>
      <c r="J50" s="1035">
        <f t="shared" si="4"/>
        <v>0</v>
      </c>
      <c r="K50" s="1035">
        <f t="shared" si="4"/>
        <v>0</v>
      </c>
      <c r="L50" s="1035"/>
      <c r="M50" s="1023"/>
      <c r="N50" s="1023"/>
      <c r="O50" s="1023"/>
      <c r="P50" s="1035"/>
      <c r="Q50" s="1023"/>
      <c r="R50" s="1023"/>
      <c r="S50" s="1023"/>
    </row>
    <row r="51" spans="1:19">
      <c r="A51" s="1058">
        <f t="shared" si="5"/>
        <v>5.2399999999999949</v>
      </c>
      <c r="B51" s="1023"/>
      <c r="C51" s="1035">
        <f t="shared" si="8"/>
        <v>0</v>
      </c>
      <c r="D51" s="1035">
        <f t="shared" si="9"/>
        <v>0</v>
      </c>
      <c r="E51" s="1035"/>
      <c r="F51" s="1035"/>
      <c r="G51" s="1035">
        <f>ROUND(SUM(C51:F51)/2,0)</f>
        <v>0</v>
      </c>
      <c r="H51" s="1035"/>
      <c r="I51" s="1035">
        <f t="shared" si="4"/>
        <v>0</v>
      </c>
      <c r="J51" s="1035">
        <f t="shared" si="4"/>
        <v>0</v>
      </c>
      <c r="K51" s="1035">
        <f t="shared" si="4"/>
        <v>0</v>
      </c>
      <c r="L51" s="1035"/>
      <c r="M51" s="1023"/>
      <c r="N51" s="1023"/>
      <c r="O51" s="1023"/>
      <c r="P51" s="1035"/>
      <c r="Q51" s="1023"/>
      <c r="R51" s="1023"/>
      <c r="S51" s="1023"/>
    </row>
    <row r="52" spans="1:19">
      <c r="A52" s="1058">
        <f t="shared" si="5"/>
        <v>5.2499999999999947</v>
      </c>
      <c r="B52" s="1023"/>
      <c r="C52" s="1035">
        <f t="shared" si="8"/>
        <v>0</v>
      </c>
      <c r="D52" s="1035">
        <f t="shared" si="9"/>
        <v>0</v>
      </c>
      <c r="E52" s="1035"/>
      <c r="F52" s="1035"/>
      <c r="G52" s="1035">
        <f>ROUND(SUM(C52:F52)/2,0)</f>
        <v>0</v>
      </c>
      <c r="H52" s="1035"/>
      <c r="I52" s="1035">
        <f t="shared" si="4"/>
        <v>0</v>
      </c>
      <c r="J52" s="1035">
        <f t="shared" si="4"/>
        <v>0</v>
      </c>
      <c r="K52" s="1035">
        <f t="shared" si="4"/>
        <v>0</v>
      </c>
      <c r="L52" s="1035"/>
      <c r="M52" s="1023"/>
      <c r="N52" s="1023"/>
      <c r="O52" s="1023"/>
      <c r="P52" s="1035"/>
      <c r="Q52" s="1023"/>
      <c r="R52" s="1023"/>
      <c r="S52" s="1023"/>
    </row>
    <row r="53" spans="1:19">
      <c r="A53" s="1058">
        <f t="shared" si="5"/>
        <v>5.2599999999999945</v>
      </c>
      <c r="B53" s="1023"/>
      <c r="C53" s="1035">
        <f t="shared" si="8"/>
        <v>0</v>
      </c>
      <c r="D53" s="1035">
        <f t="shared" si="9"/>
        <v>0</v>
      </c>
      <c r="E53" s="1035"/>
      <c r="F53" s="1035"/>
      <c r="G53" s="1035">
        <f>ROUND(SUM(C53:F53)/2,0)</f>
        <v>0</v>
      </c>
      <c r="H53" s="1035"/>
      <c r="I53" s="1035">
        <f t="shared" si="4"/>
        <v>0</v>
      </c>
      <c r="J53" s="1035">
        <f t="shared" si="4"/>
        <v>0</v>
      </c>
      <c r="K53" s="1035">
        <f t="shared" si="4"/>
        <v>0</v>
      </c>
      <c r="L53" s="1035"/>
      <c r="M53" s="1023"/>
      <c r="N53" s="1023"/>
      <c r="O53" s="1023"/>
      <c r="P53" s="1035"/>
      <c r="Q53" s="1023"/>
      <c r="R53" s="1023"/>
      <c r="S53" s="1023"/>
    </row>
    <row r="54" spans="1:19">
      <c r="A54" s="1058">
        <f t="shared" si="5"/>
        <v>5.2699999999999942</v>
      </c>
      <c r="B54" s="1023"/>
      <c r="C54" s="1035">
        <f t="shared" si="8"/>
        <v>0</v>
      </c>
      <c r="D54" s="1035">
        <f t="shared" si="9"/>
        <v>0</v>
      </c>
      <c r="E54" s="1035"/>
      <c r="F54" s="1035"/>
      <c r="G54" s="1035">
        <f>ROUND(SUM(C54:F54)/2,0)</f>
        <v>0</v>
      </c>
      <c r="H54" s="1035"/>
      <c r="I54" s="1035">
        <f t="shared" si="4"/>
        <v>0</v>
      </c>
      <c r="J54" s="1035">
        <f t="shared" si="4"/>
        <v>0</v>
      </c>
      <c r="K54" s="1035">
        <f t="shared" si="4"/>
        <v>0</v>
      </c>
      <c r="L54" s="1035"/>
      <c r="M54" s="1023"/>
      <c r="N54" s="1023"/>
      <c r="O54" s="1023"/>
      <c r="P54" s="1035"/>
      <c r="Q54" s="1023"/>
      <c r="R54" s="1023"/>
      <c r="S54" s="1023"/>
    </row>
    <row r="55" spans="1:19">
      <c r="A55" s="1058">
        <f t="shared" si="5"/>
        <v>5.279999999999994</v>
      </c>
      <c r="B55" s="1023"/>
      <c r="C55" s="1035">
        <f t="shared" si="8"/>
        <v>0</v>
      </c>
      <c r="D55" s="1035">
        <f t="shared" si="9"/>
        <v>0</v>
      </c>
      <c r="E55" s="1035"/>
      <c r="F55" s="1035"/>
      <c r="G55" s="1035">
        <f>ROUND(SUM(C55:F55)/2,0)</f>
        <v>0</v>
      </c>
      <c r="H55" s="1035"/>
      <c r="I55" s="1035">
        <f t="shared" si="4"/>
        <v>0</v>
      </c>
      <c r="J55" s="1035">
        <f t="shared" si="4"/>
        <v>0</v>
      </c>
      <c r="K55" s="1035">
        <f t="shared" si="4"/>
        <v>0</v>
      </c>
      <c r="L55" s="1035"/>
      <c r="M55" s="1023"/>
      <c r="N55" s="1023"/>
      <c r="O55" s="1023"/>
      <c r="P55" s="1035"/>
      <c r="Q55" s="1023"/>
      <c r="R55" s="1023"/>
      <c r="S55" s="1023"/>
    </row>
    <row r="56" spans="1:19">
      <c r="A56" s="1058">
        <f t="shared" si="5"/>
        <v>5.2899999999999938</v>
      </c>
      <c r="B56" s="1023"/>
      <c r="C56" s="1035">
        <f t="shared" si="1"/>
        <v>0</v>
      </c>
      <c r="D56" s="1035">
        <f t="shared" si="2"/>
        <v>0</v>
      </c>
      <c r="E56" s="1035"/>
      <c r="F56" s="1035"/>
      <c r="G56" s="1035">
        <f t="shared" ref="G56:G68" si="10">ROUND(SUM(C56:F56)/2,0)</f>
        <v>0</v>
      </c>
      <c r="H56" s="1035"/>
      <c r="I56" s="1035">
        <f t="shared" si="4"/>
        <v>0</v>
      </c>
      <c r="J56" s="1035">
        <f t="shared" si="4"/>
        <v>0</v>
      </c>
      <c r="K56" s="1035">
        <f t="shared" si="4"/>
        <v>0</v>
      </c>
      <c r="L56" s="1035"/>
      <c r="M56" s="1023"/>
      <c r="N56" s="1023"/>
      <c r="O56" s="1023"/>
      <c r="P56" s="1035"/>
      <c r="Q56" s="1023"/>
      <c r="R56" s="1023"/>
      <c r="S56" s="1023"/>
    </row>
    <row r="57" spans="1:19">
      <c r="A57" s="1058">
        <f t="shared" si="5"/>
        <v>5.2999999999999936</v>
      </c>
      <c r="B57" s="1023"/>
      <c r="C57" s="1035">
        <f t="shared" si="1"/>
        <v>0</v>
      </c>
      <c r="D57" s="1035">
        <f t="shared" si="2"/>
        <v>0</v>
      </c>
      <c r="E57" s="1035"/>
      <c r="F57" s="1035"/>
      <c r="G57" s="1035">
        <f t="shared" si="10"/>
        <v>0</v>
      </c>
      <c r="H57" s="1035"/>
      <c r="I57" s="1035">
        <f t="shared" si="4"/>
        <v>0</v>
      </c>
      <c r="J57" s="1035">
        <f t="shared" si="4"/>
        <v>0</v>
      </c>
      <c r="K57" s="1035">
        <f t="shared" si="4"/>
        <v>0</v>
      </c>
      <c r="L57" s="1035"/>
      <c r="M57" s="1023"/>
      <c r="N57" s="1023"/>
      <c r="O57" s="1023"/>
      <c r="P57" s="1035"/>
      <c r="Q57" s="1023"/>
      <c r="R57" s="1023"/>
      <c r="S57" s="1023"/>
    </row>
    <row r="58" spans="1:19">
      <c r="A58" s="1058">
        <f t="shared" si="5"/>
        <v>5.3099999999999934</v>
      </c>
      <c r="B58" s="1023"/>
      <c r="C58" s="1035">
        <f>SUM(M58:O58)</f>
        <v>0</v>
      </c>
      <c r="D58" s="1035">
        <f>SUM(Q58:S58)</f>
        <v>0</v>
      </c>
      <c r="E58" s="1035"/>
      <c r="F58" s="1035"/>
      <c r="G58" s="1035">
        <f>ROUND(SUM(C58:F58)/2,0)</f>
        <v>0</v>
      </c>
      <c r="H58" s="1035"/>
      <c r="I58" s="1035">
        <f t="shared" si="4"/>
        <v>0</v>
      </c>
      <c r="J58" s="1035">
        <f t="shared" si="4"/>
        <v>0</v>
      </c>
      <c r="K58" s="1035">
        <f t="shared" si="4"/>
        <v>0</v>
      </c>
      <c r="L58" s="1035"/>
      <c r="M58" s="1023"/>
      <c r="N58" s="1023"/>
      <c r="O58" s="1023"/>
      <c r="P58" s="1035"/>
      <c r="Q58" s="1023"/>
      <c r="R58" s="1023"/>
      <c r="S58" s="1023"/>
    </row>
    <row r="59" spans="1:19">
      <c r="A59" s="1058">
        <f t="shared" si="5"/>
        <v>5.3199999999999932</v>
      </c>
      <c r="B59" s="1023"/>
      <c r="C59" s="1035">
        <f t="shared" si="1"/>
        <v>0</v>
      </c>
      <c r="D59" s="1035">
        <f t="shared" si="2"/>
        <v>0</v>
      </c>
      <c r="E59" s="1035"/>
      <c r="F59" s="1035"/>
      <c r="G59" s="1035">
        <f t="shared" si="10"/>
        <v>0</v>
      </c>
      <c r="H59" s="1035"/>
      <c r="I59" s="1035">
        <f t="shared" si="4"/>
        <v>0</v>
      </c>
      <c r="J59" s="1035">
        <f t="shared" si="4"/>
        <v>0</v>
      </c>
      <c r="K59" s="1035">
        <f t="shared" si="4"/>
        <v>0</v>
      </c>
      <c r="L59" s="1035"/>
      <c r="M59" s="1023"/>
      <c r="N59" s="1023"/>
      <c r="O59" s="1023"/>
      <c r="P59" s="1035"/>
      <c r="Q59" s="1023"/>
      <c r="R59" s="1023"/>
      <c r="S59" s="1023"/>
    </row>
    <row r="60" spans="1:19">
      <c r="A60" s="1058">
        <f t="shared" si="5"/>
        <v>5.329999999999993</v>
      </c>
      <c r="B60" s="1023"/>
      <c r="C60" s="1035">
        <f t="shared" si="1"/>
        <v>0</v>
      </c>
      <c r="D60" s="1035">
        <f t="shared" si="2"/>
        <v>0</v>
      </c>
      <c r="E60" s="1035"/>
      <c r="F60" s="1035"/>
      <c r="G60" s="1035">
        <f t="shared" si="10"/>
        <v>0</v>
      </c>
      <c r="H60" s="1035"/>
      <c r="I60" s="1035">
        <f t="shared" si="4"/>
        <v>0</v>
      </c>
      <c r="J60" s="1035">
        <f t="shared" si="4"/>
        <v>0</v>
      </c>
      <c r="K60" s="1035">
        <f t="shared" si="4"/>
        <v>0</v>
      </c>
      <c r="L60" s="1035"/>
      <c r="M60" s="1023"/>
      <c r="N60" s="1023"/>
      <c r="O60" s="1023"/>
      <c r="P60" s="1035"/>
      <c r="Q60" s="1023"/>
      <c r="R60" s="1023"/>
      <c r="S60" s="1023"/>
    </row>
    <row r="61" spans="1:19">
      <c r="A61" s="1058">
        <f t="shared" si="5"/>
        <v>5.3399999999999928</v>
      </c>
      <c r="B61" s="1023"/>
      <c r="C61" s="1039">
        <f>SUM(M61:O61)</f>
        <v>0</v>
      </c>
      <c r="D61" s="1039">
        <f>SUM(Q61:S61)</f>
        <v>0</v>
      </c>
      <c r="E61" s="1039"/>
      <c r="F61" s="1039"/>
      <c r="G61" s="1039">
        <f>ROUND(SUM(C61:F61)/2,0)</f>
        <v>0</v>
      </c>
      <c r="H61" s="1039"/>
      <c r="I61" s="1039">
        <f t="shared" si="4"/>
        <v>0</v>
      </c>
      <c r="J61" s="1039">
        <f t="shared" si="4"/>
        <v>0</v>
      </c>
      <c r="K61" s="1039">
        <f t="shared" si="4"/>
        <v>0</v>
      </c>
      <c r="L61" s="1039"/>
      <c r="M61" s="1023"/>
      <c r="N61" s="1023"/>
      <c r="O61" s="1023"/>
      <c r="P61" s="1039"/>
      <c r="Q61" s="1023"/>
      <c r="R61" s="1023"/>
      <c r="S61" s="1023"/>
    </row>
    <row r="62" spans="1:19">
      <c r="A62" s="1058">
        <f t="shared" si="5"/>
        <v>5.3499999999999925</v>
      </c>
      <c r="B62" s="1023"/>
      <c r="C62" s="1039">
        <f t="shared" si="1"/>
        <v>0</v>
      </c>
      <c r="D62" s="1039">
        <f t="shared" si="2"/>
        <v>0</v>
      </c>
      <c r="E62" s="1039"/>
      <c r="F62" s="1039"/>
      <c r="G62" s="1039">
        <f t="shared" si="10"/>
        <v>0</v>
      </c>
      <c r="H62" s="1039"/>
      <c r="I62" s="1039">
        <f t="shared" si="4"/>
        <v>0</v>
      </c>
      <c r="J62" s="1039">
        <f t="shared" si="4"/>
        <v>0</v>
      </c>
      <c r="K62" s="1039">
        <f t="shared" si="4"/>
        <v>0</v>
      </c>
      <c r="L62" s="1039"/>
      <c r="M62" s="1023"/>
      <c r="N62" s="1023"/>
      <c r="O62" s="1023"/>
      <c r="P62" s="1039"/>
      <c r="Q62" s="1023"/>
      <c r="R62" s="1023"/>
      <c r="S62" s="1023"/>
    </row>
    <row r="63" spans="1:19">
      <c r="A63" s="1058">
        <f t="shared" si="5"/>
        <v>5.3599999999999923</v>
      </c>
      <c r="B63" s="1023"/>
      <c r="C63" s="1035">
        <f t="shared" si="1"/>
        <v>0</v>
      </c>
      <c r="D63" s="1035">
        <f t="shared" si="2"/>
        <v>0</v>
      </c>
      <c r="E63" s="1035"/>
      <c r="F63" s="1035"/>
      <c r="G63" s="1035">
        <f t="shared" si="10"/>
        <v>0</v>
      </c>
      <c r="H63" s="1035"/>
      <c r="I63" s="1035">
        <f t="shared" si="4"/>
        <v>0</v>
      </c>
      <c r="J63" s="1035">
        <f t="shared" si="4"/>
        <v>0</v>
      </c>
      <c r="K63" s="1035">
        <f t="shared" si="4"/>
        <v>0</v>
      </c>
      <c r="L63" s="1035"/>
      <c r="M63" s="1023"/>
      <c r="N63" s="1023"/>
      <c r="O63" s="1023"/>
      <c r="P63" s="1035"/>
      <c r="Q63" s="1023"/>
      <c r="R63" s="1023"/>
      <c r="S63" s="1023"/>
    </row>
    <row r="64" spans="1:19">
      <c r="A64" s="1058">
        <f t="shared" si="5"/>
        <v>5.3699999999999921</v>
      </c>
      <c r="B64" s="1023"/>
      <c r="C64" s="1035">
        <f t="shared" si="1"/>
        <v>0</v>
      </c>
      <c r="D64" s="1035">
        <f t="shared" si="2"/>
        <v>0</v>
      </c>
      <c r="E64" s="1035"/>
      <c r="F64" s="1035"/>
      <c r="G64" s="1035">
        <f t="shared" si="10"/>
        <v>0</v>
      </c>
      <c r="H64" s="1035"/>
      <c r="I64" s="1035">
        <f t="shared" si="4"/>
        <v>0</v>
      </c>
      <c r="J64" s="1035">
        <f t="shared" si="4"/>
        <v>0</v>
      </c>
      <c r="K64" s="1035">
        <f t="shared" si="4"/>
        <v>0</v>
      </c>
      <c r="L64" s="1035"/>
      <c r="M64" s="1023"/>
      <c r="N64" s="1023"/>
      <c r="O64" s="1023"/>
      <c r="P64" s="1035"/>
      <c r="Q64" s="1023"/>
      <c r="R64" s="1023"/>
      <c r="S64" s="1023"/>
    </row>
    <row r="65" spans="1:19">
      <c r="A65" s="1058">
        <f t="shared" si="5"/>
        <v>5.3799999999999919</v>
      </c>
      <c r="B65" s="1023"/>
      <c r="C65" s="1035">
        <f>SUM(M65:O65)</f>
        <v>0</v>
      </c>
      <c r="D65" s="1035">
        <f>SUM(Q65:S65)</f>
        <v>0</v>
      </c>
      <c r="E65" s="1035"/>
      <c r="F65" s="1035"/>
      <c r="G65" s="1035">
        <f>ROUND(SUM(C65:F65)/2,0)</f>
        <v>0</v>
      </c>
      <c r="H65" s="1035"/>
      <c r="I65" s="1035">
        <f t="shared" si="4"/>
        <v>0</v>
      </c>
      <c r="J65" s="1035">
        <f t="shared" si="4"/>
        <v>0</v>
      </c>
      <c r="K65" s="1035">
        <f t="shared" si="4"/>
        <v>0</v>
      </c>
      <c r="L65" s="1035"/>
      <c r="M65" s="1023"/>
      <c r="N65" s="1023"/>
      <c r="O65" s="1023"/>
      <c r="P65" s="1035"/>
      <c r="Q65" s="1023"/>
      <c r="R65" s="1023"/>
      <c r="S65" s="1023"/>
    </row>
    <row r="66" spans="1:19">
      <c r="A66" s="1058">
        <f t="shared" si="5"/>
        <v>5.3899999999999917</v>
      </c>
      <c r="B66" s="1023"/>
      <c r="C66" s="1023"/>
      <c r="D66" s="1023"/>
      <c r="E66" s="1035">
        <f t="shared" ref="E66:F68" si="11">-C66</f>
        <v>0</v>
      </c>
      <c r="F66" s="1035">
        <f t="shared" si="11"/>
        <v>0</v>
      </c>
      <c r="G66" s="1035">
        <f t="shared" si="10"/>
        <v>0</v>
      </c>
      <c r="H66" s="1035"/>
      <c r="I66" s="1035"/>
      <c r="J66" s="1035"/>
      <c r="K66" s="1035"/>
      <c r="L66" s="1035"/>
      <c r="M66" s="1035"/>
      <c r="N66" s="1035"/>
      <c r="O66" s="1035"/>
      <c r="P66" s="1035"/>
      <c r="Q66" s="1035"/>
      <c r="R66" s="1035"/>
      <c r="S66" s="1035"/>
    </row>
    <row r="67" spans="1:19">
      <c r="A67" s="1058">
        <f t="shared" si="5"/>
        <v>5.3999999999999915</v>
      </c>
      <c r="B67" s="1023"/>
      <c r="C67" s="1023"/>
      <c r="D67" s="1023"/>
      <c r="E67" s="1035">
        <f t="shared" si="11"/>
        <v>0</v>
      </c>
      <c r="F67" s="1035">
        <f t="shared" si="11"/>
        <v>0</v>
      </c>
      <c r="G67" s="1035">
        <f t="shared" si="10"/>
        <v>0</v>
      </c>
      <c r="H67" s="1035"/>
      <c r="I67" s="1035"/>
      <c r="J67" s="1035"/>
      <c r="K67" s="1035"/>
      <c r="L67" s="1035"/>
      <c r="M67" s="1035"/>
      <c r="N67" s="1035"/>
      <c r="O67" s="1035"/>
      <c r="P67" s="1035"/>
      <c r="Q67" s="1035"/>
      <c r="R67" s="1035"/>
      <c r="S67" s="1035"/>
    </row>
    <row r="68" spans="1:19">
      <c r="A68" s="1058">
        <f t="shared" si="5"/>
        <v>5.4099999999999913</v>
      </c>
      <c r="B68" s="1023"/>
      <c r="C68" s="1023"/>
      <c r="D68" s="1023"/>
      <c r="E68" s="1035">
        <f t="shared" si="11"/>
        <v>0</v>
      </c>
      <c r="F68" s="1035">
        <f t="shared" si="11"/>
        <v>0</v>
      </c>
      <c r="G68" s="1035">
        <f t="shared" si="10"/>
        <v>0</v>
      </c>
      <c r="H68" s="1035"/>
      <c r="I68" s="1035"/>
      <c r="J68" s="1035"/>
      <c r="K68" s="1035"/>
      <c r="L68" s="1035"/>
      <c r="M68" s="1035"/>
      <c r="N68" s="1035"/>
      <c r="O68" s="1035"/>
      <c r="P68" s="1035"/>
      <c r="Q68" s="1035"/>
      <c r="R68" s="1035"/>
      <c r="S68" s="1035"/>
    </row>
    <row r="69" spans="1:19">
      <c r="A69" s="1016"/>
    </row>
    <row r="70" spans="1:19">
      <c r="A70" s="1044"/>
      <c r="B70" s="1027"/>
      <c r="C70" s="1035"/>
      <c r="D70" s="1035"/>
      <c r="E70" s="1035"/>
      <c r="F70" s="1035"/>
      <c r="G70" s="1035"/>
      <c r="H70" s="1035"/>
      <c r="I70" s="1035"/>
      <c r="J70" s="1035"/>
      <c r="K70" s="1035"/>
      <c r="L70" s="1035"/>
      <c r="M70" s="1035"/>
      <c r="N70" s="1035"/>
      <c r="O70" s="1035"/>
      <c r="P70" s="1035"/>
      <c r="Q70" s="1035"/>
      <c r="R70" s="1035"/>
      <c r="S70" s="1035"/>
    </row>
    <row r="71" spans="1:19" ht="13.5" thickBot="1">
      <c r="A71" s="1044">
        <v>6</v>
      </c>
      <c r="B71" s="1024" t="s">
        <v>674</v>
      </c>
      <c r="C71" s="1037">
        <f>SUM(C28:C70)</f>
        <v>0</v>
      </c>
      <c r="D71" s="1037">
        <f>SUM(D28:D70)</f>
        <v>0</v>
      </c>
      <c r="E71" s="1037">
        <f>SUM(E28:E70)</f>
        <v>0</v>
      </c>
      <c r="F71" s="1037">
        <f>SUM(F28:F70)</f>
        <v>0</v>
      </c>
      <c r="G71" s="1037">
        <f>SUM(G28:G70)</f>
        <v>0</v>
      </c>
      <c r="H71" s="1035"/>
      <c r="I71" s="1037">
        <f>SUM(I28:I70)</f>
        <v>0</v>
      </c>
      <c r="J71" s="1037">
        <f>SUM(J28:J70)</f>
        <v>0</v>
      </c>
      <c r="K71" s="1037">
        <f>SUM(K28:K70)</f>
        <v>0</v>
      </c>
      <c r="L71" s="1035"/>
      <c r="M71" s="1037">
        <f>SUM(M28:M70)</f>
        <v>0</v>
      </c>
      <c r="N71" s="1037">
        <f>SUM(N28:N70)</f>
        <v>0</v>
      </c>
      <c r="O71" s="1037">
        <f>SUM(O28:O70)</f>
        <v>0</v>
      </c>
      <c r="P71" s="1035"/>
      <c r="Q71" s="1037">
        <f>SUM(Q28:Q70)</f>
        <v>0</v>
      </c>
      <c r="R71" s="1037">
        <f>SUM(R28:R70)</f>
        <v>0</v>
      </c>
      <c r="S71" s="1037">
        <f>SUM(S28:S70)</f>
        <v>0</v>
      </c>
    </row>
    <row r="72" spans="1:19" ht="13.5" thickTop="1">
      <c r="A72" s="1044">
        <f>A71+1</f>
        <v>7</v>
      </c>
      <c r="B72" s="1027" t="s">
        <v>675</v>
      </c>
      <c r="C72" s="1038">
        <f>SUM(C34,C35,C61,C62)</f>
        <v>0</v>
      </c>
      <c r="D72" s="1038">
        <f>SUM(D34,D35,D61,D62)</f>
        <v>0</v>
      </c>
      <c r="E72" s="1038">
        <f>SUM(E34,E35,E61,E62)</f>
        <v>0</v>
      </c>
      <c r="F72" s="1038">
        <f>SUM(F34,F35,F61,F62)</f>
        <v>0</v>
      </c>
      <c r="G72" s="1038">
        <f>SUM(G34,G35,G61,G62)</f>
        <v>0</v>
      </c>
      <c r="H72" s="1035"/>
      <c r="I72" s="1038">
        <f>SUM(I34,I35,I61,I62)</f>
        <v>0</v>
      </c>
      <c r="J72" s="1038">
        <f>SUM(J34,J35,J61,J62)</f>
        <v>0</v>
      </c>
      <c r="K72" s="1038">
        <f>SUM(K34,K35,K61,K62)</f>
        <v>0</v>
      </c>
      <c r="L72" s="1038"/>
      <c r="M72" s="1038">
        <f>SUM(M34,M35,M61,M62)</f>
        <v>0</v>
      </c>
      <c r="N72" s="1038">
        <f>SUM(N34,N35,N61,N62)</f>
        <v>0</v>
      </c>
      <c r="O72" s="1038">
        <f>SUM(O34,O35,O61,O62)</f>
        <v>0</v>
      </c>
      <c r="P72" s="1035"/>
      <c r="Q72" s="1038">
        <f>SUM(Q34,Q35,Q61,Q62)</f>
        <v>0</v>
      </c>
      <c r="R72" s="1038">
        <f>SUM(R34,R35,R61,R62)</f>
        <v>0</v>
      </c>
      <c r="S72" s="1038">
        <f>SUM(S34,S35,S61,S62)</f>
        <v>0</v>
      </c>
    </row>
    <row r="73" spans="1:19">
      <c r="A73" s="1044"/>
      <c r="B73" s="1024"/>
      <c r="C73" s="1035"/>
      <c r="D73" s="1040"/>
      <c r="E73" s="1035"/>
      <c r="F73" s="1035"/>
      <c r="G73" s="1035"/>
      <c r="H73" s="1035"/>
      <c r="I73" s="1035"/>
      <c r="J73" s="1035"/>
      <c r="K73" s="1035"/>
      <c r="L73" s="1035"/>
      <c r="M73" s="1035"/>
      <c r="N73" s="1035"/>
      <c r="O73" s="1035"/>
      <c r="P73" s="1035"/>
      <c r="Q73" s="1035"/>
      <c r="R73" s="1035"/>
      <c r="S73" s="1035"/>
    </row>
    <row r="74" spans="1:19">
      <c r="A74" s="1044">
        <v>8</v>
      </c>
      <c r="B74" s="1021" t="s">
        <v>676</v>
      </c>
      <c r="C74" s="1035" t="s">
        <v>406</v>
      </c>
      <c r="D74" s="1035"/>
      <c r="E74" s="1035"/>
      <c r="F74" s="1035"/>
      <c r="G74" s="1035"/>
      <c r="H74" s="1035"/>
      <c r="I74" s="1035"/>
      <c r="J74" s="1035"/>
      <c r="K74" s="1035"/>
      <c r="L74" s="1035"/>
      <c r="M74" s="1035"/>
      <c r="N74" s="1035"/>
      <c r="O74" s="1035"/>
      <c r="P74" s="1035"/>
      <c r="Q74" s="1035"/>
      <c r="R74" s="1035"/>
      <c r="S74" s="1035"/>
    </row>
    <row r="75" spans="1:19">
      <c r="A75" s="1044"/>
      <c r="B75" s="1027"/>
      <c r="C75" s="1035"/>
      <c r="D75" s="1035"/>
      <c r="E75" s="1035"/>
      <c r="F75" s="1035"/>
      <c r="G75" s="1035"/>
      <c r="H75" s="1035"/>
      <c r="I75" s="1035"/>
      <c r="J75" s="1035"/>
      <c r="K75" s="1035"/>
      <c r="L75" s="1035"/>
      <c r="M75" s="1035"/>
      <c r="N75" s="1035"/>
      <c r="O75" s="1035"/>
      <c r="P75" s="1035"/>
      <c r="Q75" s="1035"/>
      <c r="R75" s="1035"/>
      <c r="S75" s="1035"/>
    </row>
    <row r="76" spans="1:19">
      <c r="A76" s="1058">
        <v>9.01</v>
      </c>
      <c r="B76" s="1023"/>
      <c r="C76" s="1035">
        <f>SUM(M76:O76)</f>
        <v>0</v>
      </c>
      <c r="D76" s="1035">
        <f t="shared" ref="D76:D139" si="12">SUM(Q76:S76)</f>
        <v>0</v>
      </c>
      <c r="E76" s="1035"/>
      <c r="F76" s="1035"/>
      <c r="G76" s="1035">
        <f t="shared" ref="G76:G130" si="13">ROUND(SUM(C76:F76)/2,0)</f>
        <v>0</v>
      </c>
      <c r="H76" s="1035"/>
      <c r="I76" s="1035">
        <f>(M76+Q76)/2</f>
        <v>0</v>
      </c>
      <c r="J76" s="1035">
        <f>(N76+R76)/2</f>
        <v>0</v>
      </c>
      <c r="K76" s="1035">
        <f>(O76+S76)/2</f>
        <v>0</v>
      </c>
      <c r="L76" s="1035"/>
      <c r="M76" s="1023"/>
      <c r="N76" s="1023"/>
      <c r="O76" s="1023"/>
      <c r="P76" s="1035"/>
      <c r="Q76" s="1023"/>
      <c r="R76" s="1023"/>
      <c r="S76" s="1023"/>
    </row>
    <row r="77" spans="1:19">
      <c r="A77" s="1058">
        <f>A76+0.01</f>
        <v>9.02</v>
      </c>
      <c r="B77" s="1023"/>
      <c r="C77" s="1035">
        <f t="shared" ref="C77:C140" si="14">SUM(M77:O77)</f>
        <v>0</v>
      </c>
      <c r="D77" s="1035">
        <f t="shared" si="12"/>
        <v>0</v>
      </c>
      <c r="E77" s="1035"/>
      <c r="F77" s="1035"/>
      <c r="G77" s="1035">
        <f>ROUND(SUM(C77:F77)/2,0)</f>
        <v>0</v>
      </c>
      <c r="H77" s="1035"/>
      <c r="I77" s="1035">
        <f t="shared" ref="I77:K136" si="15">(M77+Q77)/2</f>
        <v>0</v>
      </c>
      <c r="J77" s="1035">
        <f t="shared" si="15"/>
        <v>0</v>
      </c>
      <c r="K77" s="1035">
        <f t="shared" si="15"/>
        <v>0</v>
      </c>
      <c r="L77" s="1035"/>
      <c r="M77" s="1023"/>
      <c r="N77" s="1023"/>
      <c r="O77" s="1023"/>
      <c r="P77" s="1035"/>
      <c r="Q77" s="1023"/>
      <c r="R77" s="1023"/>
      <c r="S77" s="1023"/>
    </row>
    <row r="78" spans="1:19">
      <c r="A78" s="1058">
        <f t="shared" ref="A78:A141" si="16">A77+0.01</f>
        <v>9.0299999999999994</v>
      </c>
      <c r="B78" s="1023"/>
      <c r="C78" s="1035">
        <f t="shared" si="14"/>
        <v>0</v>
      </c>
      <c r="D78" s="1035">
        <f t="shared" si="12"/>
        <v>0</v>
      </c>
      <c r="E78" s="1035"/>
      <c r="F78" s="1035"/>
      <c r="G78" s="1035">
        <f t="shared" si="13"/>
        <v>0</v>
      </c>
      <c r="H78" s="1035"/>
      <c r="I78" s="1035">
        <f t="shared" si="15"/>
        <v>0</v>
      </c>
      <c r="J78" s="1035">
        <f t="shared" si="15"/>
        <v>0</v>
      </c>
      <c r="K78" s="1035">
        <f t="shared" si="15"/>
        <v>0</v>
      </c>
      <c r="L78" s="1035"/>
      <c r="M78" s="1023"/>
      <c r="N78" s="1023"/>
      <c r="O78" s="1023"/>
      <c r="P78" s="1035"/>
      <c r="Q78" s="1023"/>
      <c r="R78" s="1023"/>
      <c r="S78" s="1023"/>
    </row>
    <row r="79" spans="1:19">
      <c r="A79" s="1058">
        <f t="shared" si="16"/>
        <v>9.0399999999999991</v>
      </c>
      <c r="B79" s="1023"/>
      <c r="C79" s="1035">
        <f t="shared" si="14"/>
        <v>0</v>
      </c>
      <c r="D79" s="1035">
        <f t="shared" si="12"/>
        <v>0</v>
      </c>
      <c r="E79" s="1035"/>
      <c r="F79" s="1035"/>
      <c r="G79" s="1035">
        <f t="shared" si="13"/>
        <v>0</v>
      </c>
      <c r="H79" s="1035"/>
      <c r="I79" s="1035">
        <f t="shared" si="15"/>
        <v>0</v>
      </c>
      <c r="J79" s="1035">
        <f t="shared" si="15"/>
        <v>0</v>
      </c>
      <c r="K79" s="1035">
        <f t="shared" si="15"/>
        <v>0</v>
      </c>
      <c r="L79" s="1035"/>
      <c r="M79" s="1023"/>
      <c r="N79" s="1023"/>
      <c r="O79" s="1023"/>
      <c r="P79" s="1035"/>
      <c r="Q79" s="1023"/>
      <c r="R79" s="1023"/>
      <c r="S79" s="1023"/>
    </row>
    <row r="80" spans="1:19" hidden="1">
      <c r="A80" s="1058">
        <f t="shared" si="16"/>
        <v>9.0499999999999989</v>
      </c>
      <c r="B80" s="1023"/>
      <c r="C80" s="1035">
        <f t="shared" si="14"/>
        <v>0</v>
      </c>
      <c r="D80" s="1035">
        <f t="shared" si="12"/>
        <v>0</v>
      </c>
      <c r="E80" s="1035"/>
      <c r="F80" s="1035"/>
      <c r="G80" s="1035">
        <f t="shared" si="13"/>
        <v>0</v>
      </c>
      <c r="H80" s="1035"/>
      <c r="I80" s="1035">
        <f t="shared" si="15"/>
        <v>0</v>
      </c>
      <c r="J80" s="1035">
        <f t="shared" si="15"/>
        <v>0</v>
      </c>
      <c r="K80" s="1035">
        <f t="shared" si="15"/>
        <v>0</v>
      </c>
      <c r="L80" s="1035"/>
      <c r="M80" s="1023"/>
      <c r="N80" s="1023"/>
      <c r="O80" s="1023"/>
      <c r="P80" s="1035"/>
      <c r="Q80" s="1023"/>
      <c r="R80" s="1023"/>
      <c r="S80" s="1023"/>
    </row>
    <row r="81" spans="1:19" hidden="1">
      <c r="A81" s="1058">
        <f t="shared" si="16"/>
        <v>9.0599999999999987</v>
      </c>
      <c r="B81" s="1023"/>
      <c r="C81" s="1035">
        <f t="shared" si="14"/>
        <v>0</v>
      </c>
      <c r="D81" s="1035">
        <f t="shared" si="12"/>
        <v>0</v>
      </c>
      <c r="E81" s="1035"/>
      <c r="F81" s="1035"/>
      <c r="G81" s="1035">
        <f t="shared" si="13"/>
        <v>0</v>
      </c>
      <c r="H81" s="1035"/>
      <c r="I81" s="1035">
        <f t="shared" si="15"/>
        <v>0</v>
      </c>
      <c r="J81" s="1035">
        <f t="shared" si="15"/>
        <v>0</v>
      </c>
      <c r="K81" s="1035">
        <f t="shared" si="15"/>
        <v>0</v>
      </c>
      <c r="L81" s="1035"/>
      <c r="M81" s="1023"/>
      <c r="N81" s="1023"/>
      <c r="O81" s="1023"/>
      <c r="P81" s="1035"/>
      <c r="Q81" s="1023"/>
      <c r="R81" s="1023"/>
      <c r="S81" s="1023"/>
    </row>
    <row r="82" spans="1:19" hidden="1">
      <c r="A82" s="1058">
        <f t="shared" si="16"/>
        <v>9.0699999999999985</v>
      </c>
      <c r="B82" s="1023"/>
      <c r="C82" s="1035">
        <f t="shared" si="14"/>
        <v>0</v>
      </c>
      <c r="D82" s="1035">
        <f t="shared" si="12"/>
        <v>0</v>
      </c>
      <c r="E82" s="1035"/>
      <c r="F82" s="1035"/>
      <c r="G82" s="1035">
        <f>ROUND(SUM(C82:F82)/2,0)</f>
        <v>0</v>
      </c>
      <c r="H82" s="1035"/>
      <c r="I82" s="1035">
        <f t="shared" si="15"/>
        <v>0</v>
      </c>
      <c r="J82" s="1035">
        <f t="shared" si="15"/>
        <v>0</v>
      </c>
      <c r="K82" s="1035">
        <f t="shared" si="15"/>
        <v>0</v>
      </c>
      <c r="L82" s="1035"/>
      <c r="M82" s="1023"/>
      <c r="N82" s="1023"/>
      <c r="O82" s="1023"/>
      <c r="P82" s="1035"/>
      <c r="Q82" s="1023"/>
      <c r="R82" s="1023"/>
      <c r="S82" s="1023"/>
    </row>
    <row r="83" spans="1:19" hidden="1">
      <c r="A83" s="1058">
        <f t="shared" si="16"/>
        <v>9.0799999999999983</v>
      </c>
      <c r="B83" s="1023"/>
      <c r="C83" s="1035">
        <f t="shared" si="14"/>
        <v>0</v>
      </c>
      <c r="D83" s="1035">
        <f t="shared" si="12"/>
        <v>0</v>
      </c>
      <c r="E83" s="1035"/>
      <c r="F83" s="1035"/>
      <c r="G83" s="1035">
        <f>ROUND(SUM(C83:F83)/2,0)</f>
        <v>0</v>
      </c>
      <c r="H83" s="1035"/>
      <c r="I83" s="1035">
        <f t="shared" si="15"/>
        <v>0</v>
      </c>
      <c r="J83" s="1035">
        <f t="shared" si="15"/>
        <v>0</v>
      </c>
      <c r="K83" s="1035">
        <f t="shared" si="15"/>
        <v>0</v>
      </c>
      <c r="L83" s="1035"/>
      <c r="M83" s="1023"/>
      <c r="N83" s="1023"/>
      <c r="O83" s="1023"/>
      <c r="P83" s="1035"/>
      <c r="Q83" s="1023"/>
      <c r="R83" s="1023"/>
      <c r="S83" s="1023"/>
    </row>
    <row r="84" spans="1:19" hidden="1">
      <c r="A84" s="1058">
        <f t="shared" si="16"/>
        <v>9.0899999999999981</v>
      </c>
      <c r="B84" s="1023"/>
      <c r="C84" s="1035">
        <f t="shared" si="14"/>
        <v>0</v>
      </c>
      <c r="D84" s="1035">
        <f t="shared" si="12"/>
        <v>0</v>
      </c>
      <c r="E84" s="1035"/>
      <c r="F84" s="1035"/>
      <c r="G84" s="1035">
        <f t="shared" si="13"/>
        <v>0</v>
      </c>
      <c r="H84" s="1035"/>
      <c r="I84" s="1035">
        <f t="shared" si="15"/>
        <v>0</v>
      </c>
      <c r="J84" s="1035">
        <f t="shared" si="15"/>
        <v>0</v>
      </c>
      <c r="K84" s="1035">
        <f t="shared" si="15"/>
        <v>0</v>
      </c>
      <c r="L84" s="1035"/>
      <c r="M84" s="1023"/>
      <c r="N84" s="1023"/>
      <c r="O84" s="1023"/>
      <c r="P84" s="1035"/>
      <c r="Q84" s="1023"/>
      <c r="R84" s="1023"/>
      <c r="S84" s="1023"/>
    </row>
    <row r="85" spans="1:19" hidden="1">
      <c r="A85" s="1058">
        <f t="shared" si="16"/>
        <v>9.0999999999999979</v>
      </c>
      <c r="B85" s="1023"/>
      <c r="C85" s="1035">
        <f t="shared" si="14"/>
        <v>0</v>
      </c>
      <c r="D85" s="1035">
        <f t="shared" si="12"/>
        <v>0</v>
      </c>
      <c r="E85" s="1035"/>
      <c r="F85" s="1035"/>
      <c r="G85" s="1035">
        <f>ROUND(SUM(C85:F85)/2,0)</f>
        <v>0</v>
      </c>
      <c r="H85" s="1035"/>
      <c r="I85" s="1035">
        <f t="shared" si="15"/>
        <v>0</v>
      </c>
      <c r="J85" s="1035">
        <f t="shared" si="15"/>
        <v>0</v>
      </c>
      <c r="K85" s="1035">
        <f t="shared" si="15"/>
        <v>0</v>
      </c>
      <c r="L85" s="1035"/>
      <c r="M85" s="1023"/>
      <c r="N85" s="1023"/>
      <c r="O85" s="1023"/>
      <c r="P85" s="1035"/>
      <c r="Q85" s="1023"/>
      <c r="R85" s="1023"/>
      <c r="S85" s="1023"/>
    </row>
    <row r="86" spans="1:19" hidden="1">
      <c r="A86" s="1058">
        <f t="shared" si="16"/>
        <v>9.1099999999999977</v>
      </c>
      <c r="B86" s="1023"/>
      <c r="C86" s="1035">
        <f t="shared" si="14"/>
        <v>0</v>
      </c>
      <c r="D86" s="1035">
        <f t="shared" si="12"/>
        <v>0</v>
      </c>
      <c r="E86" s="1035"/>
      <c r="F86" s="1035"/>
      <c r="G86" s="1035">
        <f>ROUND(SUM(C86:F86)/2,0)</f>
        <v>0</v>
      </c>
      <c r="H86" s="1035"/>
      <c r="I86" s="1035">
        <f t="shared" si="15"/>
        <v>0</v>
      </c>
      <c r="J86" s="1035">
        <f t="shared" si="15"/>
        <v>0</v>
      </c>
      <c r="K86" s="1035">
        <f t="shared" si="15"/>
        <v>0</v>
      </c>
      <c r="L86" s="1035"/>
      <c r="M86" s="1023"/>
      <c r="N86" s="1023"/>
      <c r="O86" s="1023"/>
      <c r="P86" s="1035"/>
      <c r="Q86" s="1023"/>
      <c r="R86" s="1023"/>
      <c r="S86" s="1023"/>
    </row>
    <row r="87" spans="1:19" hidden="1">
      <c r="A87" s="1058">
        <f t="shared" si="16"/>
        <v>9.1199999999999974</v>
      </c>
      <c r="B87" s="1023"/>
      <c r="C87" s="1035">
        <f t="shared" si="14"/>
        <v>0</v>
      </c>
      <c r="D87" s="1035">
        <f t="shared" si="12"/>
        <v>0</v>
      </c>
      <c r="E87" s="1035"/>
      <c r="F87" s="1035"/>
      <c r="G87" s="1035">
        <f t="shared" si="13"/>
        <v>0</v>
      </c>
      <c r="H87" s="1035"/>
      <c r="I87" s="1035">
        <f t="shared" si="15"/>
        <v>0</v>
      </c>
      <c r="J87" s="1035">
        <f t="shared" si="15"/>
        <v>0</v>
      </c>
      <c r="K87" s="1035">
        <f t="shared" si="15"/>
        <v>0</v>
      </c>
      <c r="L87" s="1035"/>
      <c r="M87" s="1023"/>
      <c r="N87" s="1023"/>
      <c r="O87" s="1023"/>
      <c r="P87" s="1035"/>
      <c r="Q87" s="1023"/>
      <c r="R87" s="1023"/>
      <c r="S87" s="1023"/>
    </row>
    <row r="88" spans="1:19" hidden="1">
      <c r="A88" s="1058">
        <f t="shared" si="16"/>
        <v>9.1299999999999972</v>
      </c>
      <c r="B88" s="1023"/>
      <c r="C88" s="1035">
        <f t="shared" si="14"/>
        <v>0</v>
      </c>
      <c r="D88" s="1035">
        <f t="shared" si="12"/>
        <v>0</v>
      </c>
      <c r="E88" s="1035"/>
      <c r="F88" s="1035"/>
      <c r="G88" s="1035">
        <f t="shared" si="13"/>
        <v>0</v>
      </c>
      <c r="H88" s="1035"/>
      <c r="I88" s="1035">
        <f t="shared" si="15"/>
        <v>0</v>
      </c>
      <c r="J88" s="1035">
        <f t="shared" si="15"/>
        <v>0</v>
      </c>
      <c r="K88" s="1035">
        <f t="shared" si="15"/>
        <v>0</v>
      </c>
      <c r="L88" s="1035"/>
      <c r="M88" s="1023"/>
      <c r="N88" s="1023"/>
      <c r="O88" s="1023"/>
      <c r="P88" s="1035"/>
      <c r="Q88" s="1023"/>
      <c r="R88" s="1023"/>
      <c r="S88" s="1023"/>
    </row>
    <row r="89" spans="1:19" hidden="1">
      <c r="A89" s="1058">
        <f t="shared" si="16"/>
        <v>9.139999999999997</v>
      </c>
      <c r="B89" s="1023"/>
      <c r="C89" s="1035">
        <f t="shared" si="14"/>
        <v>0</v>
      </c>
      <c r="D89" s="1035">
        <f t="shared" si="12"/>
        <v>0</v>
      </c>
      <c r="E89" s="1035"/>
      <c r="F89" s="1035"/>
      <c r="G89" s="1035">
        <f t="shared" si="13"/>
        <v>0</v>
      </c>
      <c r="H89" s="1035"/>
      <c r="I89" s="1035">
        <f t="shared" si="15"/>
        <v>0</v>
      </c>
      <c r="J89" s="1035">
        <f t="shared" si="15"/>
        <v>0</v>
      </c>
      <c r="K89" s="1035">
        <f t="shared" si="15"/>
        <v>0</v>
      </c>
      <c r="L89" s="1035"/>
      <c r="M89" s="1023"/>
      <c r="N89" s="1023"/>
      <c r="O89" s="1023"/>
      <c r="P89" s="1035"/>
      <c r="Q89" s="1023"/>
      <c r="R89" s="1023"/>
      <c r="S89" s="1023"/>
    </row>
    <row r="90" spans="1:19" hidden="1">
      <c r="A90" s="1058">
        <f t="shared" si="16"/>
        <v>9.1499999999999968</v>
      </c>
      <c r="B90" s="1023"/>
      <c r="C90" s="1035">
        <f t="shared" si="14"/>
        <v>0</v>
      </c>
      <c r="D90" s="1035">
        <f t="shared" si="12"/>
        <v>0</v>
      </c>
      <c r="E90" s="1035"/>
      <c r="F90" s="1035"/>
      <c r="G90" s="1035">
        <f t="shared" si="13"/>
        <v>0</v>
      </c>
      <c r="H90" s="1035"/>
      <c r="I90" s="1035">
        <f t="shared" si="15"/>
        <v>0</v>
      </c>
      <c r="J90" s="1035">
        <f t="shared" si="15"/>
        <v>0</v>
      </c>
      <c r="K90" s="1035">
        <f t="shared" si="15"/>
        <v>0</v>
      </c>
      <c r="L90" s="1035"/>
      <c r="M90" s="1023"/>
      <c r="N90" s="1023"/>
      <c r="O90" s="1023"/>
      <c r="P90" s="1035"/>
      <c r="Q90" s="1023"/>
      <c r="R90" s="1023"/>
      <c r="S90" s="1023"/>
    </row>
    <row r="91" spans="1:19" hidden="1">
      <c r="A91" s="1058">
        <f t="shared" si="16"/>
        <v>9.1599999999999966</v>
      </c>
      <c r="B91" s="1023"/>
      <c r="C91" s="1035">
        <f t="shared" si="14"/>
        <v>0</v>
      </c>
      <c r="D91" s="1035">
        <f t="shared" si="12"/>
        <v>0</v>
      </c>
      <c r="E91" s="1035"/>
      <c r="F91" s="1035"/>
      <c r="G91" s="1035">
        <f t="shared" si="13"/>
        <v>0</v>
      </c>
      <c r="H91" s="1035"/>
      <c r="I91" s="1035">
        <f t="shared" si="15"/>
        <v>0</v>
      </c>
      <c r="J91" s="1035">
        <f t="shared" si="15"/>
        <v>0</v>
      </c>
      <c r="K91" s="1035">
        <f t="shared" si="15"/>
        <v>0</v>
      </c>
      <c r="L91" s="1035"/>
      <c r="M91" s="1023"/>
      <c r="N91" s="1023"/>
      <c r="O91" s="1023"/>
      <c r="P91" s="1035"/>
      <c r="Q91" s="1023"/>
      <c r="R91" s="1023"/>
      <c r="S91" s="1023"/>
    </row>
    <row r="92" spans="1:19" hidden="1">
      <c r="A92" s="1058">
        <f t="shared" si="16"/>
        <v>9.1699999999999964</v>
      </c>
      <c r="B92" s="1023"/>
      <c r="C92" s="1035">
        <f t="shared" si="14"/>
        <v>0</v>
      </c>
      <c r="D92" s="1035">
        <f t="shared" si="12"/>
        <v>0</v>
      </c>
      <c r="E92" s="1035"/>
      <c r="F92" s="1035"/>
      <c r="G92" s="1035">
        <f t="shared" si="13"/>
        <v>0</v>
      </c>
      <c r="H92" s="1035"/>
      <c r="I92" s="1035">
        <f t="shared" si="15"/>
        <v>0</v>
      </c>
      <c r="J92" s="1035">
        <f t="shared" si="15"/>
        <v>0</v>
      </c>
      <c r="K92" s="1035">
        <f t="shared" si="15"/>
        <v>0</v>
      </c>
      <c r="L92" s="1035"/>
      <c r="M92" s="1023"/>
      <c r="N92" s="1023"/>
      <c r="O92" s="1023"/>
      <c r="P92" s="1035"/>
      <c r="Q92" s="1023"/>
      <c r="R92" s="1023"/>
      <c r="S92" s="1023"/>
    </row>
    <row r="93" spans="1:19" hidden="1">
      <c r="A93" s="1058">
        <f t="shared" si="16"/>
        <v>9.1799999999999962</v>
      </c>
      <c r="B93" s="1023"/>
      <c r="C93" s="1035">
        <f t="shared" si="14"/>
        <v>0</v>
      </c>
      <c r="D93" s="1035">
        <f t="shared" si="12"/>
        <v>0</v>
      </c>
      <c r="E93" s="1035"/>
      <c r="F93" s="1035"/>
      <c r="G93" s="1035">
        <f t="shared" si="13"/>
        <v>0</v>
      </c>
      <c r="H93" s="1035"/>
      <c r="I93" s="1035">
        <f t="shared" si="15"/>
        <v>0</v>
      </c>
      <c r="J93" s="1035">
        <f t="shared" si="15"/>
        <v>0</v>
      </c>
      <c r="K93" s="1035">
        <f t="shared" si="15"/>
        <v>0</v>
      </c>
      <c r="L93" s="1035"/>
      <c r="M93" s="1023"/>
      <c r="N93" s="1023"/>
      <c r="O93" s="1023"/>
      <c r="P93" s="1035"/>
      <c r="Q93" s="1023"/>
      <c r="R93" s="1023"/>
      <c r="S93" s="1023"/>
    </row>
    <row r="94" spans="1:19" hidden="1">
      <c r="A94" s="1058">
        <f t="shared" si="16"/>
        <v>9.1899999999999959</v>
      </c>
      <c r="B94" s="1023"/>
      <c r="C94" s="1035">
        <f t="shared" si="14"/>
        <v>0</v>
      </c>
      <c r="D94" s="1035">
        <f t="shared" si="12"/>
        <v>0</v>
      </c>
      <c r="E94" s="1035"/>
      <c r="F94" s="1035"/>
      <c r="G94" s="1035">
        <f t="shared" si="13"/>
        <v>0</v>
      </c>
      <c r="H94" s="1035"/>
      <c r="I94" s="1035">
        <f t="shared" si="15"/>
        <v>0</v>
      </c>
      <c r="J94" s="1035">
        <f t="shared" si="15"/>
        <v>0</v>
      </c>
      <c r="K94" s="1035">
        <f t="shared" si="15"/>
        <v>0</v>
      </c>
      <c r="L94" s="1035"/>
      <c r="M94" s="1023"/>
      <c r="N94" s="1023"/>
      <c r="O94" s="1023"/>
      <c r="P94" s="1035"/>
      <c r="Q94" s="1023"/>
      <c r="R94" s="1023"/>
      <c r="S94" s="1023"/>
    </row>
    <row r="95" spans="1:19" hidden="1">
      <c r="A95" s="1058">
        <f t="shared" si="16"/>
        <v>9.1999999999999957</v>
      </c>
      <c r="B95" s="1023"/>
      <c r="C95" s="1035">
        <f t="shared" si="14"/>
        <v>0</v>
      </c>
      <c r="D95" s="1035">
        <f t="shared" si="12"/>
        <v>0</v>
      </c>
      <c r="E95" s="1035"/>
      <c r="F95" s="1035"/>
      <c r="G95" s="1035">
        <f t="shared" si="13"/>
        <v>0</v>
      </c>
      <c r="H95" s="1035"/>
      <c r="I95" s="1035">
        <f t="shared" si="15"/>
        <v>0</v>
      </c>
      <c r="J95" s="1035">
        <f t="shared" si="15"/>
        <v>0</v>
      </c>
      <c r="K95" s="1035">
        <f t="shared" si="15"/>
        <v>0</v>
      </c>
      <c r="L95" s="1035"/>
      <c r="M95" s="1023"/>
      <c r="N95" s="1023"/>
      <c r="O95" s="1023"/>
      <c r="P95" s="1035"/>
      <c r="Q95" s="1023"/>
      <c r="R95" s="1023"/>
      <c r="S95" s="1023"/>
    </row>
    <row r="96" spans="1:19" hidden="1">
      <c r="A96" s="1058">
        <f t="shared" si="16"/>
        <v>9.2099999999999955</v>
      </c>
      <c r="B96" s="1023"/>
      <c r="C96" s="1035">
        <f t="shared" si="14"/>
        <v>0</v>
      </c>
      <c r="D96" s="1035">
        <f t="shared" si="12"/>
        <v>0</v>
      </c>
      <c r="E96" s="1035"/>
      <c r="F96" s="1035"/>
      <c r="G96" s="1035">
        <f t="shared" si="13"/>
        <v>0</v>
      </c>
      <c r="H96" s="1035"/>
      <c r="I96" s="1035">
        <f t="shared" si="15"/>
        <v>0</v>
      </c>
      <c r="J96" s="1035">
        <f t="shared" si="15"/>
        <v>0</v>
      </c>
      <c r="K96" s="1035">
        <f t="shared" si="15"/>
        <v>0</v>
      </c>
      <c r="L96" s="1035"/>
      <c r="M96" s="1023"/>
      <c r="N96" s="1023"/>
      <c r="O96" s="1023"/>
      <c r="P96" s="1035"/>
      <c r="Q96" s="1023"/>
      <c r="R96" s="1023"/>
      <c r="S96" s="1023"/>
    </row>
    <row r="97" spans="1:19" hidden="1">
      <c r="A97" s="1058">
        <f t="shared" si="16"/>
        <v>9.2199999999999953</v>
      </c>
      <c r="B97" s="1023"/>
      <c r="C97" s="1035">
        <f t="shared" si="14"/>
        <v>0</v>
      </c>
      <c r="D97" s="1035">
        <f t="shared" si="12"/>
        <v>0</v>
      </c>
      <c r="E97" s="1035"/>
      <c r="F97" s="1035"/>
      <c r="G97" s="1035">
        <f t="shared" si="13"/>
        <v>0</v>
      </c>
      <c r="H97" s="1035"/>
      <c r="I97" s="1035">
        <f t="shared" si="15"/>
        <v>0</v>
      </c>
      <c r="J97" s="1035">
        <f t="shared" si="15"/>
        <v>0</v>
      </c>
      <c r="K97" s="1035">
        <f t="shared" si="15"/>
        <v>0</v>
      </c>
      <c r="L97" s="1035"/>
      <c r="M97" s="1023"/>
      <c r="N97" s="1023"/>
      <c r="O97" s="1023"/>
      <c r="P97" s="1035"/>
      <c r="Q97" s="1023"/>
      <c r="R97" s="1023"/>
      <c r="S97" s="1023"/>
    </row>
    <row r="98" spans="1:19" hidden="1">
      <c r="A98" s="1058">
        <f t="shared" si="16"/>
        <v>9.2299999999999951</v>
      </c>
      <c r="B98" s="1023"/>
      <c r="C98" s="1035">
        <f t="shared" si="14"/>
        <v>0</v>
      </c>
      <c r="D98" s="1035">
        <f t="shared" si="12"/>
        <v>0</v>
      </c>
      <c r="E98" s="1035"/>
      <c r="F98" s="1035"/>
      <c r="G98" s="1035">
        <f t="shared" si="13"/>
        <v>0</v>
      </c>
      <c r="H98" s="1035"/>
      <c r="I98" s="1035">
        <f t="shared" si="15"/>
        <v>0</v>
      </c>
      <c r="J98" s="1035">
        <f t="shared" si="15"/>
        <v>0</v>
      </c>
      <c r="K98" s="1035">
        <f t="shared" si="15"/>
        <v>0</v>
      </c>
      <c r="L98" s="1035"/>
      <c r="M98" s="1023"/>
      <c r="N98" s="1023"/>
      <c r="O98" s="1023"/>
      <c r="P98" s="1035"/>
      <c r="Q98" s="1023"/>
      <c r="R98" s="1023"/>
      <c r="S98" s="1023"/>
    </row>
    <row r="99" spans="1:19" hidden="1">
      <c r="A99" s="1058">
        <f t="shared" si="16"/>
        <v>9.2399999999999949</v>
      </c>
      <c r="B99" s="1023"/>
      <c r="C99" s="1035">
        <f t="shared" si="14"/>
        <v>0</v>
      </c>
      <c r="D99" s="1035">
        <f t="shared" si="12"/>
        <v>0</v>
      </c>
      <c r="E99" s="1035"/>
      <c r="F99" s="1035"/>
      <c r="G99" s="1035">
        <f t="shared" si="13"/>
        <v>0</v>
      </c>
      <c r="H99" s="1035"/>
      <c r="I99" s="1035">
        <f t="shared" si="15"/>
        <v>0</v>
      </c>
      <c r="J99" s="1035">
        <f t="shared" si="15"/>
        <v>0</v>
      </c>
      <c r="K99" s="1035">
        <f t="shared" si="15"/>
        <v>0</v>
      </c>
      <c r="L99" s="1035"/>
      <c r="M99" s="1023"/>
      <c r="N99" s="1023"/>
      <c r="O99" s="1023"/>
      <c r="P99" s="1035"/>
      <c r="Q99" s="1023"/>
      <c r="R99" s="1023"/>
      <c r="S99" s="1023"/>
    </row>
    <row r="100" spans="1:19" hidden="1">
      <c r="A100" s="1058">
        <f t="shared" si="16"/>
        <v>9.2499999999999947</v>
      </c>
      <c r="B100" s="1023"/>
      <c r="C100" s="1035">
        <f t="shared" si="14"/>
        <v>0</v>
      </c>
      <c r="D100" s="1035">
        <f t="shared" si="12"/>
        <v>0</v>
      </c>
      <c r="E100" s="1035"/>
      <c r="F100" s="1035"/>
      <c r="G100" s="1035">
        <f>ROUND(SUM(C100:F100)/2,0)</f>
        <v>0</v>
      </c>
      <c r="H100" s="1035"/>
      <c r="I100" s="1035">
        <f t="shared" si="15"/>
        <v>0</v>
      </c>
      <c r="J100" s="1035">
        <f t="shared" si="15"/>
        <v>0</v>
      </c>
      <c r="K100" s="1035">
        <f t="shared" si="15"/>
        <v>0</v>
      </c>
      <c r="L100" s="1035"/>
      <c r="M100" s="1023"/>
      <c r="N100" s="1023"/>
      <c r="O100" s="1023"/>
      <c r="P100" s="1035"/>
      <c r="Q100" s="1023"/>
      <c r="R100" s="1023"/>
      <c r="S100" s="1023"/>
    </row>
    <row r="101" spans="1:19" hidden="1">
      <c r="A101" s="1058">
        <f t="shared" si="16"/>
        <v>9.2599999999999945</v>
      </c>
      <c r="B101" s="1023"/>
      <c r="C101" s="1035">
        <f t="shared" si="14"/>
        <v>0</v>
      </c>
      <c r="D101" s="1035">
        <f t="shared" si="12"/>
        <v>0</v>
      </c>
      <c r="E101" s="1035"/>
      <c r="F101" s="1035"/>
      <c r="G101" s="1035">
        <f t="shared" si="13"/>
        <v>0</v>
      </c>
      <c r="H101" s="1035"/>
      <c r="I101" s="1035">
        <f t="shared" si="15"/>
        <v>0</v>
      </c>
      <c r="J101" s="1035">
        <f t="shared" si="15"/>
        <v>0</v>
      </c>
      <c r="K101" s="1035">
        <f t="shared" si="15"/>
        <v>0</v>
      </c>
      <c r="L101" s="1035"/>
      <c r="M101" s="1023"/>
      <c r="N101" s="1023"/>
      <c r="O101" s="1023"/>
      <c r="P101" s="1035"/>
      <c r="Q101" s="1023"/>
      <c r="R101" s="1023"/>
      <c r="S101" s="1023"/>
    </row>
    <row r="102" spans="1:19" hidden="1">
      <c r="A102" s="1058">
        <f t="shared" si="16"/>
        <v>9.2699999999999942</v>
      </c>
      <c r="B102" s="1023"/>
      <c r="C102" s="1035">
        <f t="shared" si="14"/>
        <v>0</v>
      </c>
      <c r="D102" s="1035">
        <f t="shared" si="12"/>
        <v>0</v>
      </c>
      <c r="E102" s="1035"/>
      <c r="F102" s="1035"/>
      <c r="G102" s="1035">
        <f t="shared" si="13"/>
        <v>0</v>
      </c>
      <c r="H102" s="1035"/>
      <c r="I102" s="1035">
        <f t="shared" si="15"/>
        <v>0</v>
      </c>
      <c r="J102" s="1035">
        <f t="shared" si="15"/>
        <v>0</v>
      </c>
      <c r="K102" s="1035">
        <f t="shared" si="15"/>
        <v>0</v>
      </c>
      <c r="L102" s="1035"/>
      <c r="M102" s="1023"/>
      <c r="N102" s="1023"/>
      <c r="O102" s="1023"/>
      <c r="P102" s="1035"/>
      <c r="Q102" s="1023"/>
      <c r="R102" s="1023"/>
      <c r="S102" s="1023"/>
    </row>
    <row r="103" spans="1:19" hidden="1">
      <c r="A103" s="1058">
        <f t="shared" si="16"/>
        <v>9.279999999999994</v>
      </c>
      <c r="B103" s="1023"/>
      <c r="C103" s="1035">
        <f t="shared" si="14"/>
        <v>0</v>
      </c>
      <c r="D103" s="1035">
        <f t="shared" si="12"/>
        <v>0</v>
      </c>
      <c r="E103" s="1035"/>
      <c r="F103" s="1035"/>
      <c r="G103" s="1035">
        <f>ROUND(SUM(C103:F103)/2,0)</f>
        <v>0</v>
      </c>
      <c r="H103" s="1035"/>
      <c r="I103" s="1035">
        <f t="shared" si="15"/>
        <v>0</v>
      </c>
      <c r="J103" s="1035">
        <f t="shared" si="15"/>
        <v>0</v>
      </c>
      <c r="K103" s="1035">
        <f t="shared" si="15"/>
        <v>0</v>
      </c>
      <c r="L103" s="1035"/>
      <c r="M103" s="1023"/>
      <c r="N103" s="1023"/>
      <c r="O103" s="1023"/>
      <c r="P103" s="1035"/>
      <c r="Q103" s="1023"/>
      <c r="R103" s="1023"/>
      <c r="S103" s="1023"/>
    </row>
    <row r="104" spans="1:19" hidden="1">
      <c r="A104" s="1058">
        <f t="shared" si="16"/>
        <v>9.2899999999999938</v>
      </c>
      <c r="B104" s="1023"/>
      <c r="C104" s="1035">
        <f t="shared" si="14"/>
        <v>0</v>
      </c>
      <c r="D104" s="1035">
        <f t="shared" si="12"/>
        <v>0</v>
      </c>
      <c r="E104" s="1035"/>
      <c r="F104" s="1035"/>
      <c r="G104" s="1035">
        <f t="shared" si="13"/>
        <v>0</v>
      </c>
      <c r="H104" s="1035"/>
      <c r="I104" s="1035">
        <f t="shared" si="15"/>
        <v>0</v>
      </c>
      <c r="J104" s="1035">
        <f t="shared" si="15"/>
        <v>0</v>
      </c>
      <c r="K104" s="1035">
        <f t="shared" si="15"/>
        <v>0</v>
      </c>
      <c r="L104" s="1035"/>
      <c r="M104" s="1023"/>
      <c r="N104" s="1023"/>
      <c r="O104" s="1023"/>
      <c r="P104" s="1035"/>
      <c r="Q104" s="1023"/>
      <c r="R104" s="1023"/>
      <c r="S104" s="1023"/>
    </row>
    <row r="105" spans="1:19" hidden="1">
      <c r="A105" s="1058">
        <f t="shared" si="16"/>
        <v>9.2999999999999936</v>
      </c>
      <c r="B105" s="1023"/>
      <c r="C105" s="1035">
        <f t="shared" si="14"/>
        <v>0</v>
      </c>
      <c r="D105" s="1035">
        <f t="shared" si="12"/>
        <v>0</v>
      </c>
      <c r="E105" s="1035"/>
      <c r="F105" s="1035"/>
      <c r="G105" s="1035">
        <f t="shared" si="13"/>
        <v>0</v>
      </c>
      <c r="H105" s="1035"/>
      <c r="I105" s="1035">
        <f t="shared" si="15"/>
        <v>0</v>
      </c>
      <c r="J105" s="1035">
        <f t="shared" si="15"/>
        <v>0</v>
      </c>
      <c r="K105" s="1035">
        <f t="shared" si="15"/>
        <v>0</v>
      </c>
      <c r="L105" s="1035"/>
      <c r="M105" s="1023"/>
      <c r="N105" s="1023"/>
      <c r="O105" s="1023"/>
      <c r="P105" s="1035"/>
      <c r="Q105" s="1023"/>
      <c r="R105" s="1023"/>
      <c r="S105" s="1023"/>
    </row>
    <row r="106" spans="1:19" hidden="1">
      <c r="A106" s="1058">
        <f t="shared" si="16"/>
        <v>9.3099999999999934</v>
      </c>
      <c r="B106" s="1023"/>
      <c r="C106" s="1039">
        <f t="shared" si="14"/>
        <v>0</v>
      </c>
      <c r="D106" s="1039">
        <f t="shared" si="12"/>
        <v>0</v>
      </c>
      <c r="E106" s="1039"/>
      <c r="F106" s="1039"/>
      <c r="G106" s="1039">
        <f t="shared" si="13"/>
        <v>0</v>
      </c>
      <c r="H106" s="1039"/>
      <c r="I106" s="1039">
        <f t="shared" si="15"/>
        <v>0</v>
      </c>
      <c r="J106" s="1039">
        <f t="shared" si="15"/>
        <v>0</v>
      </c>
      <c r="K106" s="1039">
        <f t="shared" si="15"/>
        <v>0</v>
      </c>
      <c r="L106" s="1039"/>
      <c r="M106" s="1023"/>
      <c r="N106" s="1023"/>
      <c r="O106" s="1023"/>
      <c r="P106" s="1039"/>
      <c r="Q106" s="1023"/>
      <c r="R106" s="1023"/>
      <c r="S106" s="1023"/>
    </row>
    <row r="107" spans="1:19" hidden="1">
      <c r="A107" s="1058">
        <f t="shared" si="16"/>
        <v>9.3199999999999932</v>
      </c>
      <c r="B107" s="1023"/>
      <c r="C107" s="1035">
        <f t="shared" si="14"/>
        <v>0</v>
      </c>
      <c r="D107" s="1035">
        <f t="shared" si="12"/>
        <v>0</v>
      </c>
      <c r="E107" s="1035"/>
      <c r="F107" s="1035"/>
      <c r="G107" s="1035">
        <f t="shared" si="13"/>
        <v>0</v>
      </c>
      <c r="H107" s="1035"/>
      <c r="I107" s="1035">
        <f t="shared" si="15"/>
        <v>0</v>
      </c>
      <c r="J107" s="1035">
        <f t="shared" si="15"/>
        <v>0</v>
      </c>
      <c r="K107" s="1035">
        <f t="shared" si="15"/>
        <v>0</v>
      </c>
      <c r="L107" s="1035"/>
      <c r="M107" s="1023"/>
      <c r="N107" s="1023"/>
      <c r="O107" s="1023"/>
      <c r="P107" s="1035"/>
      <c r="Q107" s="1023"/>
      <c r="R107" s="1023"/>
      <c r="S107" s="1023"/>
    </row>
    <row r="108" spans="1:19" hidden="1">
      <c r="A108" s="1058">
        <f t="shared" si="16"/>
        <v>9.329999999999993</v>
      </c>
      <c r="B108" s="1023"/>
      <c r="C108" s="1035">
        <f t="shared" si="14"/>
        <v>0</v>
      </c>
      <c r="D108" s="1035">
        <f t="shared" si="12"/>
        <v>0</v>
      </c>
      <c r="E108" s="1035"/>
      <c r="F108" s="1035"/>
      <c r="G108" s="1035">
        <f t="shared" si="13"/>
        <v>0</v>
      </c>
      <c r="H108" s="1035"/>
      <c r="I108" s="1035">
        <f t="shared" si="15"/>
        <v>0</v>
      </c>
      <c r="J108" s="1035">
        <f t="shared" si="15"/>
        <v>0</v>
      </c>
      <c r="K108" s="1035">
        <f t="shared" si="15"/>
        <v>0</v>
      </c>
      <c r="L108" s="1035"/>
      <c r="M108" s="1023"/>
      <c r="N108" s="1023"/>
      <c r="O108" s="1023"/>
      <c r="P108" s="1035"/>
      <c r="Q108" s="1023"/>
      <c r="R108" s="1023"/>
      <c r="S108" s="1023"/>
    </row>
    <row r="109" spans="1:19" hidden="1">
      <c r="A109" s="1058">
        <f t="shared" si="16"/>
        <v>9.3399999999999928</v>
      </c>
      <c r="B109" s="1023"/>
      <c r="C109" s="1035">
        <f t="shared" si="14"/>
        <v>0</v>
      </c>
      <c r="D109" s="1035">
        <f t="shared" si="12"/>
        <v>0</v>
      </c>
      <c r="E109" s="1035"/>
      <c r="F109" s="1035"/>
      <c r="G109" s="1035">
        <f t="shared" si="13"/>
        <v>0</v>
      </c>
      <c r="H109" s="1035"/>
      <c r="I109" s="1035">
        <f t="shared" si="15"/>
        <v>0</v>
      </c>
      <c r="J109" s="1035">
        <f t="shared" si="15"/>
        <v>0</v>
      </c>
      <c r="K109" s="1035">
        <f t="shared" si="15"/>
        <v>0</v>
      </c>
      <c r="L109" s="1035"/>
      <c r="M109" s="1023"/>
      <c r="N109" s="1023"/>
      <c r="O109" s="1023"/>
      <c r="P109" s="1035"/>
      <c r="Q109" s="1023"/>
      <c r="R109" s="1023"/>
      <c r="S109" s="1023"/>
    </row>
    <row r="110" spans="1:19" hidden="1">
      <c r="A110" s="1058">
        <f t="shared" si="16"/>
        <v>9.3499999999999925</v>
      </c>
      <c r="B110" s="1023"/>
      <c r="C110" s="1035">
        <f t="shared" si="14"/>
        <v>0</v>
      </c>
      <c r="D110" s="1035">
        <f t="shared" si="12"/>
        <v>0</v>
      </c>
      <c r="E110" s="1035"/>
      <c r="F110" s="1035"/>
      <c r="G110" s="1035">
        <f t="shared" si="13"/>
        <v>0</v>
      </c>
      <c r="H110" s="1035"/>
      <c r="I110" s="1035">
        <f t="shared" si="15"/>
        <v>0</v>
      </c>
      <c r="J110" s="1035">
        <f t="shared" si="15"/>
        <v>0</v>
      </c>
      <c r="K110" s="1035">
        <f t="shared" si="15"/>
        <v>0</v>
      </c>
      <c r="L110" s="1035"/>
      <c r="M110" s="1023"/>
      <c r="N110" s="1023"/>
      <c r="O110" s="1023"/>
      <c r="P110" s="1035"/>
      <c r="Q110" s="1023"/>
      <c r="R110" s="1023"/>
      <c r="S110" s="1023"/>
    </row>
    <row r="111" spans="1:19" hidden="1">
      <c r="A111" s="1058">
        <f t="shared" si="16"/>
        <v>9.3599999999999923</v>
      </c>
      <c r="B111" s="1023"/>
      <c r="C111" s="1035">
        <f t="shared" si="14"/>
        <v>0</v>
      </c>
      <c r="D111" s="1035">
        <f t="shared" si="12"/>
        <v>0</v>
      </c>
      <c r="E111" s="1035"/>
      <c r="F111" s="1035"/>
      <c r="G111" s="1035">
        <f t="shared" si="13"/>
        <v>0</v>
      </c>
      <c r="H111" s="1035"/>
      <c r="I111" s="1035">
        <f t="shared" si="15"/>
        <v>0</v>
      </c>
      <c r="J111" s="1035">
        <f t="shared" si="15"/>
        <v>0</v>
      </c>
      <c r="K111" s="1035">
        <f t="shared" si="15"/>
        <v>0</v>
      </c>
      <c r="L111" s="1035"/>
      <c r="M111" s="1023"/>
      <c r="N111" s="1023"/>
      <c r="O111" s="1023"/>
      <c r="P111" s="1035"/>
      <c r="Q111" s="1023"/>
      <c r="R111" s="1023"/>
      <c r="S111" s="1023"/>
    </row>
    <row r="112" spans="1:19" hidden="1">
      <c r="A112" s="1058">
        <f t="shared" si="16"/>
        <v>9.3699999999999921</v>
      </c>
      <c r="B112" s="1023"/>
      <c r="C112" s="1035">
        <f t="shared" si="14"/>
        <v>0</v>
      </c>
      <c r="D112" s="1035">
        <f t="shared" si="12"/>
        <v>0</v>
      </c>
      <c r="E112" s="1035"/>
      <c r="F112" s="1035"/>
      <c r="G112" s="1035">
        <f t="shared" si="13"/>
        <v>0</v>
      </c>
      <c r="H112" s="1035"/>
      <c r="I112" s="1035">
        <f t="shared" si="15"/>
        <v>0</v>
      </c>
      <c r="J112" s="1035">
        <f t="shared" si="15"/>
        <v>0</v>
      </c>
      <c r="K112" s="1035">
        <f t="shared" si="15"/>
        <v>0</v>
      </c>
      <c r="L112" s="1035"/>
      <c r="M112" s="1023"/>
      <c r="N112" s="1023"/>
      <c r="O112" s="1023"/>
      <c r="P112" s="1035"/>
      <c r="Q112" s="1023"/>
      <c r="R112" s="1023"/>
      <c r="S112" s="1023"/>
    </row>
    <row r="113" spans="1:19" hidden="1">
      <c r="A113" s="1058">
        <f t="shared" si="16"/>
        <v>9.3799999999999919</v>
      </c>
      <c r="B113" s="1023"/>
      <c r="C113" s="1035">
        <f t="shared" si="14"/>
        <v>0</v>
      </c>
      <c r="D113" s="1035">
        <f t="shared" si="12"/>
        <v>0</v>
      </c>
      <c r="E113" s="1035"/>
      <c r="F113" s="1035"/>
      <c r="G113" s="1035">
        <f t="shared" si="13"/>
        <v>0</v>
      </c>
      <c r="H113" s="1035"/>
      <c r="I113" s="1035">
        <f t="shared" si="15"/>
        <v>0</v>
      </c>
      <c r="J113" s="1035">
        <f t="shared" si="15"/>
        <v>0</v>
      </c>
      <c r="K113" s="1035">
        <f t="shared" si="15"/>
        <v>0</v>
      </c>
      <c r="L113" s="1035"/>
      <c r="M113" s="1023"/>
      <c r="N113" s="1023"/>
      <c r="O113" s="1023"/>
      <c r="P113" s="1035"/>
      <c r="Q113" s="1023"/>
      <c r="R113" s="1023"/>
      <c r="S113" s="1023"/>
    </row>
    <row r="114" spans="1:19" hidden="1">
      <c r="A114" s="1058">
        <f t="shared" si="16"/>
        <v>9.3899999999999917</v>
      </c>
      <c r="B114" s="1023"/>
      <c r="C114" s="1035">
        <f t="shared" si="14"/>
        <v>0</v>
      </c>
      <c r="D114" s="1035">
        <f t="shared" si="12"/>
        <v>0</v>
      </c>
      <c r="E114" s="1035"/>
      <c r="F114" s="1035"/>
      <c r="G114" s="1035">
        <f t="shared" si="13"/>
        <v>0</v>
      </c>
      <c r="H114" s="1035"/>
      <c r="I114" s="1035">
        <f t="shared" si="15"/>
        <v>0</v>
      </c>
      <c r="J114" s="1035">
        <f t="shared" si="15"/>
        <v>0</v>
      </c>
      <c r="K114" s="1035">
        <f t="shared" si="15"/>
        <v>0</v>
      </c>
      <c r="L114" s="1035"/>
      <c r="M114" s="1023"/>
      <c r="N114" s="1023"/>
      <c r="O114" s="1023"/>
      <c r="P114" s="1035"/>
      <c r="Q114" s="1023"/>
      <c r="R114" s="1023"/>
      <c r="S114" s="1023"/>
    </row>
    <row r="115" spans="1:19" hidden="1">
      <c r="A115" s="1058">
        <f t="shared" si="16"/>
        <v>9.3999999999999915</v>
      </c>
      <c r="B115" s="1023"/>
      <c r="C115" s="1035">
        <f t="shared" si="14"/>
        <v>0</v>
      </c>
      <c r="D115" s="1035">
        <f t="shared" si="12"/>
        <v>0</v>
      </c>
      <c r="E115" s="1035"/>
      <c r="F115" s="1035"/>
      <c r="G115" s="1035">
        <f t="shared" si="13"/>
        <v>0</v>
      </c>
      <c r="H115" s="1035"/>
      <c r="I115" s="1035">
        <f t="shared" si="15"/>
        <v>0</v>
      </c>
      <c r="J115" s="1035">
        <f t="shared" si="15"/>
        <v>0</v>
      </c>
      <c r="K115" s="1035">
        <f t="shared" si="15"/>
        <v>0</v>
      </c>
      <c r="L115" s="1035"/>
      <c r="M115" s="1023"/>
      <c r="N115" s="1023"/>
      <c r="O115" s="1023"/>
      <c r="P115" s="1035"/>
      <c r="Q115" s="1023"/>
      <c r="R115" s="1023"/>
      <c r="S115" s="1023"/>
    </row>
    <row r="116" spans="1:19" hidden="1">
      <c r="A116" s="1058">
        <f t="shared" si="16"/>
        <v>9.4099999999999913</v>
      </c>
      <c r="B116" s="1023"/>
      <c r="C116" s="1035">
        <f t="shared" si="14"/>
        <v>0</v>
      </c>
      <c r="D116" s="1035">
        <f t="shared" si="12"/>
        <v>0</v>
      </c>
      <c r="E116" s="1035"/>
      <c r="F116" s="1035"/>
      <c r="G116" s="1035">
        <f t="shared" si="13"/>
        <v>0</v>
      </c>
      <c r="H116" s="1035"/>
      <c r="I116" s="1035">
        <f t="shared" si="15"/>
        <v>0</v>
      </c>
      <c r="J116" s="1035">
        <f t="shared" si="15"/>
        <v>0</v>
      </c>
      <c r="K116" s="1035">
        <f t="shared" si="15"/>
        <v>0</v>
      </c>
      <c r="L116" s="1035"/>
      <c r="M116" s="1023"/>
      <c r="N116" s="1023"/>
      <c r="O116" s="1023"/>
      <c r="P116" s="1035"/>
      <c r="Q116" s="1023"/>
      <c r="R116" s="1023"/>
      <c r="S116" s="1023"/>
    </row>
    <row r="117" spans="1:19" hidden="1">
      <c r="A117" s="1058">
        <f t="shared" si="16"/>
        <v>9.419999999999991</v>
      </c>
      <c r="B117" s="1023"/>
      <c r="C117" s="1035">
        <f t="shared" si="14"/>
        <v>0</v>
      </c>
      <c r="D117" s="1035">
        <f t="shared" si="12"/>
        <v>0</v>
      </c>
      <c r="E117" s="1035"/>
      <c r="F117" s="1035"/>
      <c r="G117" s="1035">
        <f t="shared" si="13"/>
        <v>0</v>
      </c>
      <c r="H117" s="1035"/>
      <c r="I117" s="1035">
        <f t="shared" si="15"/>
        <v>0</v>
      </c>
      <c r="J117" s="1035">
        <f t="shared" si="15"/>
        <v>0</v>
      </c>
      <c r="K117" s="1035">
        <f t="shared" si="15"/>
        <v>0</v>
      </c>
      <c r="L117" s="1035"/>
      <c r="M117" s="1023"/>
      <c r="N117" s="1023"/>
      <c r="O117" s="1023"/>
      <c r="P117" s="1035"/>
      <c r="Q117" s="1023"/>
      <c r="R117" s="1023"/>
      <c r="S117" s="1023"/>
    </row>
    <row r="118" spans="1:19" hidden="1">
      <c r="A118" s="1058">
        <f t="shared" si="16"/>
        <v>9.4299999999999908</v>
      </c>
      <c r="B118" s="1023"/>
      <c r="C118" s="1035">
        <f t="shared" si="14"/>
        <v>0</v>
      </c>
      <c r="D118" s="1035">
        <f t="shared" si="12"/>
        <v>0</v>
      </c>
      <c r="E118" s="1035"/>
      <c r="F118" s="1035"/>
      <c r="G118" s="1035">
        <f t="shared" si="13"/>
        <v>0</v>
      </c>
      <c r="H118" s="1035"/>
      <c r="I118" s="1035">
        <f t="shared" si="15"/>
        <v>0</v>
      </c>
      <c r="J118" s="1035">
        <f t="shared" si="15"/>
        <v>0</v>
      </c>
      <c r="K118" s="1035">
        <f t="shared" si="15"/>
        <v>0</v>
      </c>
      <c r="L118" s="1035"/>
      <c r="M118" s="1023"/>
      <c r="N118" s="1023"/>
      <c r="O118" s="1023"/>
      <c r="P118" s="1035"/>
      <c r="Q118" s="1023"/>
      <c r="R118" s="1023"/>
      <c r="S118" s="1023"/>
    </row>
    <row r="119" spans="1:19" hidden="1">
      <c r="A119" s="1058">
        <f t="shared" si="16"/>
        <v>9.4399999999999906</v>
      </c>
      <c r="B119" s="1023"/>
      <c r="C119" s="1035">
        <f t="shared" si="14"/>
        <v>0</v>
      </c>
      <c r="D119" s="1035">
        <f t="shared" si="12"/>
        <v>0</v>
      </c>
      <c r="E119" s="1035"/>
      <c r="F119" s="1035"/>
      <c r="G119" s="1035">
        <f t="shared" si="13"/>
        <v>0</v>
      </c>
      <c r="H119" s="1035"/>
      <c r="I119" s="1035">
        <f t="shared" si="15"/>
        <v>0</v>
      </c>
      <c r="J119" s="1035">
        <f t="shared" si="15"/>
        <v>0</v>
      </c>
      <c r="K119" s="1035">
        <f t="shared" si="15"/>
        <v>0</v>
      </c>
      <c r="L119" s="1035"/>
      <c r="M119" s="1023"/>
      <c r="N119" s="1023"/>
      <c r="O119" s="1023"/>
      <c r="P119" s="1035"/>
      <c r="Q119" s="1023"/>
      <c r="R119" s="1023"/>
      <c r="S119" s="1023"/>
    </row>
    <row r="120" spans="1:19" hidden="1">
      <c r="A120" s="1058">
        <f t="shared" si="16"/>
        <v>9.4499999999999904</v>
      </c>
      <c r="B120" s="1023"/>
      <c r="C120" s="1035">
        <f t="shared" si="14"/>
        <v>0</v>
      </c>
      <c r="D120" s="1035">
        <f t="shared" si="12"/>
        <v>0</v>
      </c>
      <c r="E120" s="1035"/>
      <c r="F120" s="1035"/>
      <c r="G120" s="1035">
        <f t="shared" si="13"/>
        <v>0</v>
      </c>
      <c r="H120" s="1035"/>
      <c r="I120" s="1035">
        <f t="shared" si="15"/>
        <v>0</v>
      </c>
      <c r="J120" s="1035">
        <f t="shared" si="15"/>
        <v>0</v>
      </c>
      <c r="K120" s="1035">
        <f t="shared" si="15"/>
        <v>0</v>
      </c>
      <c r="L120" s="1035"/>
      <c r="M120" s="1023"/>
      <c r="N120" s="1023"/>
      <c r="O120" s="1023"/>
      <c r="P120" s="1035"/>
      <c r="Q120" s="1023"/>
      <c r="R120" s="1023"/>
      <c r="S120" s="1023"/>
    </row>
    <row r="121" spans="1:19" hidden="1">
      <c r="A121" s="1058">
        <f t="shared" si="16"/>
        <v>9.4599999999999902</v>
      </c>
      <c r="B121" s="1023"/>
      <c r="C121" s="1035">
        <f t="shared" si="14"/>
        <v>0</v>
      </c>
      <c r="D121" s="1035">
        <f t="shared" si="12"/>
        <v>0</v>
      </c>
      <c r="E121" s="1035"/>
      <c r="F121" s="1035"/>
      <c r="G121" s="1035">
        <f t="shared" si="13"/>
        <v>0</v>
      </c>
      <c r="H121" s="1035"/>
      <c r="I121" s="1035">
        <f t="shared" si="15"/>
        <v>0</v>
      </c>
      <c r="J121" s="1035">
        <f t="shared" si="15"/>
        <v>0</v>
      </c>
      <c r="K121" s="1035">
        <f t="shared" si="15"/>
        <v>0</v>
      </c>
      <c r="L121" s="1035"/>
      <c r="M121" s="1023"/>
      <c r="N121" s="1023"/>
      <c r="O121" s="1023"/>
      <c r="P121" s="1035"/>
      <c r="Q121" s="1023"/>
      <c r="R121" s="1023"/>
      <c r="S121" s="1023"/>
    </row>
    <row r="122" spans="1:19" hidden="1">
      <c r="A122" s="1058">
        <f t="shared" si="16"/>
        <v>9.46999999999999</v>
      </c>
      <c r="B122" s="1023"/>
      <c r="C122" s="1035">
        <f t="shared" si="14"/>
        <v>0</v>
      </c>
      <c r="D122" s="1035">
        <f t="shared" si="12"/>
        <v>0</v>
      </c>
      <c r="E122" s="1035"/>
      <c r="F122" s="1035"/>
      <c r="G122" s="1035">
        <f t="shared" si="13"/>
        <v>0</v>
      </c>
      <c r="H122" s="1035"/>
      <c r="I122" s="1035">
        <f t="shared" si="15"/>
        <v>0</v>
      </c>
      <c r="J122" s="1035">
        <f t="shared" si="15"/>
        <v>0</v>
      </c>
      <c r="K122" s="1035">
        <f t="shared" si="15"/>
        <v>0</v>
      </c>
      <c r="L122" s="1035"/>
      <c r="M122" s="1023"/>
      <c r="N122" s="1023"/>
      <c r="O122" s="1023"/>
      <c r="P122" s="1035"/>
      <c r="Q122" s="1023"/>
      <c r="R122" s="1023"/>
      <c r="S122" s="1023"/>
    </row>
    <row r="123" spans="1:19" hidden="1">
      <c r="A123" s="1058">
        <f t="shared" si="16"/>
        <v>9.4799999999999898</v>
      </c>
      <c r="B123" s="1023"/>
      <c r="C123" s="1035">
        <f t="shared" si="14"/>
        <v>0</v>
      </c>
      <c r="D123" s="1035">
        <f t="shared" si="12"/>
        <v>0</v>
      </c>
      <c r="E123" s="1035"/>
      <c r="F123" s="1035"/>
      <c r="G123" s="1035">
        <f t="shared" si="13"/>
        <v>0</v>
      </c>
      <c r="H123" s="1035"/>
      <c r="I123" s="1035">
        <f t="shared" si="15"/>
        <v>0</v>
      </c>
      <c r="J123" s="1035">
        <f t="shared" si="15"/>
        <v>0</v>
      </c>
      <c r="K123" s="1035">
        <f t="shared" si="15"/>
        <v>0</v>
      </c>
      <c r="L123" s="1035"/>
      <c r="M123" s="1023"/>
      <c r="N123" s="1023"/>
      <c r="O123" s="1023"/>
      <c r="P123" s="1035"/>
      <c r="Q123" s="1023"/>
      <c r="R123" s="1023"/>
      <c r="S123" s="1023"/>
    </row>
    <row r="124" spans="1:19" hidden="1">
      <c r="A124" s="1058">
        <f t="shared" si="16"/>
        <v>9.4899999999999896</v>
      </c>
      <c r="B124" s="1023"/>
      <c r="C124" s="1035">
        <f t="shared" si="14"/>
        <v>0</v>
      </c>
      <c r="D124" s="1035">
        <f t="shared" si="12"/>
        <v>0</v>
      </c>
      <c r="E124" s="1035"/>
      <c r="F124" s="1035"/>
      <c r="G124" s="1035">
        <f t="shared" si="13"/>
        <v>0</v>
      </c>
      <c r="H124" s="1035"/>
      <c r="I124" s="1035">
        <f t="shared" si="15"/>
        <v>0</v>
      </c>
      <c r="J124" s="1035">
        <f t="shared" si="15"/>
        <v>0</v>
      </c>
      <c r="K124" s="1035">
        <f t="shared" si="15"/>
        <v>0</v>
      </c>
      <c r="L124" s="1035"/>
      <c r="M124" s="1023"/>
      <c r="N124" s="1023"/>
      <c r="O124" s="1023"/>
      <c r="P124" s="1035"/>
      <c r="Q124" s="1023"/>
      <c r="R124" s="1023"/>
      <c r="S124" s="1023"/>
    </row>
    <row r="125" spans="1:19" hidden="1">
      <c r="A125" s="1058">
        <f t="shared" si="16"/>
        <v>9.4999999999999893</v>
      </c>
      <c r="B125" s="1023"/>
      <c r="C125" s="1035">
        <f t="shared" si="14"/>
        <v>0</v>
      </c>
      <c r="D125" s="1035">
        <f t="shared" si="12"/>
        <v>0</v>
      </c>
      <c r="E125" s="1035"/>
      <c r="F125" s="1035"/>
      <c r="G125" s="1035">
        <f t="shared" si="13"/>
        <v>0</v>
      </c>
      <c r="H125" s="1035"/>
      <c r="I125" s="1035">
        <f t="shared" si="15"/>
        <v>0</v>
      </c>
      <c r="J125" s="1035">
        <f t="shared" si="15"/>
        <v>0</v>
      </c>
      <c r="K125" s="1035">
        <f t="shared" si="15"/>
        <v>0</v>
      </c>
      <c r="L125" s="1035"/>
      <c r="M125" s="1023"/>
      <c r="N125" s="1023"/>
      <c r="O125" s="1023"/>
      <c r="P125" s="1035"/>
      <c r="Q125" s="1023"/>
      <c r="R125" s="1023"/>
      <c r="S125" s="1023"/>
    </row>
    <row r="126" spans="1:19" hidden="1">
      <c r="A126" s="1058">
        <f t="shared" si="16"/>
        <v>9.5099999999999891</v>
      </c>
      <c r="B126" s="1023"/>
      <c r="C126" s="1035">
        <f t="shared" si="14"/>
        <v>0</v>
      </c>
      <c r="D126" s="1035">
        <f t="shared" si="12"/>
        <v>0</v>
      </c>
      <c r="E126" s="1035"/>
      <c r="F126" s="1035"/>
      <c r="G126" s="1035">
        <f t="shared" si="13"/>
        <v>0</v>
      </c>
      <c r="H126" s="1035"/>
      <c r="I126" s="1035">
        <f t="shared" si="15"/>
        <v>0</v>
      </c>
      <c r="J126" s="1035">
        <f t="shared" si="15"/>
        <v>0</v>
      </c>
      <c r="K126" s="1035">
        <f t="shared" si="15"/>
        <v>0</v>
      </c>
      <c r="L126" s="1035"/>
      <c r="M126" s="1023"/>
      <c r="N126" s="1023"/>
      <c r="O126" s="1023"/>
      <c r="P126" s="1035"/>
      <c r="Q126" s="1023"/>
      <c r="R126" s="1023"/>
      <c r="S126" s="1023"/>
    </row>
    <row r="127" spans="1:19" hidden="1">
      <c r="A127" s="1058">
        <f t="shared" si="16"/>
        <v>9.5199999999999889</v>
      </c>
      <c r="B127" s="1023"/>
      <c r="C127" s="1035">
        <f t="shared" si="14"/>
        <v>0</v>
      </c>
      <c r="D127" s="1035">
        <f t="shared" si="12"/>
        <v>0</v>
      </c>
      <c r="E127" s="1035"/>
      <c r="F127" s="1035"/>
      <c r="G127" s="1035">
        <f t="shared" si="13"/>
        <v>0</v>
      </c>
      <c r="H127" s="1035"/>
      <c r="I127" s="1035">
        <f t="shared" si="15"/>
        <v>0</v>
      </c>
      <c r="J127" s="1035">
        <f t="shared" si="15"/>
        <v>0</v>
      </c>
      <c r="K127" s="1035">
        <f t="shared" si="15"/>
        <v>0</v>
      </c>
      <c r="L127" s="1035"/>
      <c r="M127" s="1023"/>
      <c r="N127" s="1023"/>
      <c r="O127" s="1023"/>
      <c r="P127" s="1035"/>
      <c r="Q127" s="1023"/>
      <c r="R127" s="1023"/>
      <c r="S127" s="1023"/>
    </row>
    <row r="128" spans="1:19" hidden="1">
      <c r="A128" s="1058">
        <f t="shared" si="16"/>
        <v>9.5299999999999887</v>
      </c>
      <c r="B128" s="1023"/>
      <c r="C128" s="1035">
        <f t="shared" si="14"/>
        <v>0</v>
      </c>
      <c r="D128" s="1035">
        <f t="shared" si="12"/>
        <v>0</v>
      </c>
      <c r="E128" s="1035"/>
      <c r="F128" s="1035"/>
      <c r="G128" s="1035">
        <f t="shared" si="13"/>
        <v>0</v>
      </c>
      <c r="H128" s="1035"/>
      <c r="I128" s="1035">
        <f t="shared" si="15"/>
        <v>0</v>
      </c>
      <c r="J128" s="1035">
        <f t="shared" si="15"/>
        <v>0</v>
      </c>
      <c r="K128" s="1035">
        <f t="shared" si="15"/>
        <v>0</v>
      </c>
      <c r="L128" s="1035"/>
      <c r="M128" s="1023"/>
      <c r="N128" s="1023"/>
      <c r="O128" s="1023"/>
      <c r="P128" s="1035"/>
      <c r="Q128" s="1023"/>
      <c r="R128" s="1023"/>
      <c r="S128" s="1023"/>
    </row>
    <row r="129" spans="1:19" hidden="1">
      <c r="A129" s="1058">
        <f t="shared" si="16"/>
        <v>9.5399999999999885</v>
      </c>
      <c r="B129" s="1023"/>
      <c r="C129" s="1035">
        <f t="shared" si="14"/>
        <v>0</v>
      </c>
      <c r="D129" s="1035">
        <f t="shared" si="12"/>
        <v>0</v>
      </c>
      <c r="E129" s="1035"/>
      <c r="F129" s="1035"/>
      <c r="G129" s="1035">
        <f t="shared" si="13"/>
        <v>0</v>
      </c>
      <c r="H129" s="1035"/>
      <c r="I129" s="1035">
        <f t="shared" si="15"/>
        <v>0</v>
      </c>
      <c r="J129" s="1035">
        <f t="shared" si="15"/>
        <v>0</v>
      </c>
      <c r="K129" s="1035">
        <f t="shared" si="15"/>
        <v>0</v>
      </c>
      <c r="L129" s="1035"/>
      <c r="M129" s="1023"/>
      <c r="N129" s="1023"/>
      <c r="O129" s="1023"/>
      <c r="P129" s="1035"/>
      <c r="Q129" s="1023"/>
      <c r="R129" s="1023"/>
      <c r="S129" s="1023"/>
    </row>
    <row r="130" spans="1:19" hidden="1">
      <c r="A130" s="1058">
        <f t="shared" si="16"/>
        <v>9.5499999999999883</v>
      </c>
      <c r="B130" s="1023"/>
      <c r="C130" s="1035">
        <f t="shared" si="14"/>
        <v>0</v>
      </c>
      <c r="D130" s="1035">
        <f t="shared" si="12"/>
        <v>0</v>
      </c>
      <c r="E130" s="1035"/>
      <c r="F130" s="1035"/>
      <c r="G130" s="1035">
        <f t="shared" si="13"/>
        <v>0</v>
      </c>
      <c r="H130" s="1035"/>
      <c r="I130" s="1035">
        <f t="shared" si="15"/>
        <v>0</v>
      </c>
      <c r="J130" s="1035">
        <f t="shared" si="15"/>
        <v>0</v>
      </c>
      <c r="K130" s="1035">
        <f t="shared" si="15"/>
        <v>0</v>
      </c>
      <c r="L130" s="1035"/>
      <c r="M130" s="1023"/>
      <c r="N130" s="1023"/>
      <c r="O130" s="1023"/>
      <c r="P130" s="1035"/>
      <c r="Q130" s="1023"/>
      <c r="R130" s="1023"/>
      <c r="S130" s="1023"/>
    </row>
    <row r="131" spans="1:19" hidden="1">
      <c r="A131" s="1058">
        <f t="shared" si="16"/>
        <v>9.5599999999999881</v>
      </c>
      <c r="B131" s="1023"/>
      <c r="C131" s="1035">
        <f t="shared" si="14"/>
        <v>0</v>
      </c>
      <c r="D131" s="1035">
        <f t="shared" si="12"/>
        <v>0</v>
      </c>
      <c r="E131" s="1035"/>
      <c r="F131" s="1035"/>
      <c r="G131" s="1035">
        <f>ROUND(SUM(C131:F131)/2,0)</f>
        <v>0</v>
      </c>
      <c r="H131" s="1035"/>
      <c r="I131" s="1035">
        <f t="shared" si="15"/>
        <v>0</v>
      </c>
      <c r="J131" s="1035">
        <f t="shared" si="15"/>
        <v>0</v>
      </c>
      <c r="K131" s="1035">
        <f t="shared" si="15"/>
        <v>0</v>
      </c>
      <c r="L131" s="1035"/>
      <c r="M131" s="1023"/>
      <c r="N131" s="1023"/>
      <c r="O131" s="1023"/>
      <c r="P131" s="1035"/>
      <c r="Q131" s="1023"/>
      <c r="R131" s="1023"/>
      <c r="S131" s="1023"/>
    </row>
    <row r="132" spans="1:19" hidden="1">
      <c r="A132" s="1058">
        <f t="shared" si="16"/>
        <v>9.5699999999999878</v>
      </c>
      <c r="B132" s="1023"/>
      <c r="C132" s="1035">
        <f t="shared" si="14"/>
        <v>0</v>
      </c>
      <c r="D132" s="1035">
        <f t="shared" si="12"/>
        <v>0</v>
      </c>
      <c r="E132" s="1035"/>
      <c r="F132" s="1035"/>
      <c r="G132" s="1035">
        <f>ROUND(SUM(C132:F132)/2,0)</f>
        <v>0</v>
      </c>
      <c r="H132" s="1035"/>
      <c r="I132" s="1035">
        <f t="shared" si="15"/>
        <v>0</v>
      </c>
      <c r="J132" s="1035">
        <f t="shared" si="15"/>
        <v>0</v>
      </c>
      <c r="K132" s="1035">
        <f t="shared" si="15"/>
        <v>0</v>
      </c>
      <c r="L132" s="1035"/>
      <c r="M132" s="1023"/>
      <c r="N132" s="1023"/>
      <c r="O132" s="1023"/>
      <c r="P132" s="1035"/>
      <c r="Q132" s="1023"/>
      <c r="R132" s="1023"/>
      <c r="S132" s="1023"/>
    </row>
    <row r="133" spans="1:19" hidden="1">
      <c r="A133" s="1058">
        <f t="shared" si="16"/>
        <v>9.5799999999999876</v>
      </c>
      <c r="B133" s="1023"/>
      <c r="C133" s="1035">
        <f t="shared" si="14"/>
        <v>0</v>
      </c>
      <c r="D133" s="1035">
        <f t="shared" si="12"/>
        <v>0</v>
      </c>
      <c r="E133" s="1035"/>
      <c r="F133" s="1035"/>
      <c r="G133" s="1035">
        <f>ROUND(SUM(C133:F133)/2,0)</f>
        <v>0</v>
      </c>
      <c r="H133" s="1035"/>
      <c r="I133" s="1035">
        <f t="shared" si="15"/>
        <v>0</v>
      </c>
      <c r="J133" s="1035">
        <f t="shared" si="15"/>
        <v>0</v>
      </c>
      <c r="K133" s="1035">
        <f t="shared" si="15"/>
        <v>0</v>
      </c>
      <c r="L133" s="1035"/>
      <c r="M133" s="1023"/>
      <c r="N133" s="1023"/>
      <c r="O133" s="1023"/>
      <c r="P133" s="1035"/>
      <c r="Q133" s="1023"/>
      <c r="R133" s="1023"/>
      <c r="S133" s="1023"/>
    </row>
    <row r="134" spans="1:19" hidden="1">
      <c r="A134" s="1058">
        <f t="shared" si="16"/>
        <v>9.5899999999999874</v>
      </c>
      <c r="B134" s="1023"/>
      <c r="C134" s="1035">
        <f t="shared" si="14"/>
        <v>0</v>
      </c>
      <c r="D134" s="1035">
        <f t="shared" si="12"/>
        <v>0</v>
      </c>
      <c r="E134" s="1035"/>
      <c r="F134" s="1035"/>
      <c r="G134" s="1035">
        <f t="shared" ref="G134:G174" si="17">ROUND(SUM(C134:F134)/2,0)</f>
        <v>0</v>
      </c>
      <c r="H134" s="1035"/>
      <c r="I134" s="1035">
        <f t="shared" si="15"/>
        <v>0</v>
      </c>
      <c r="J134" s="1035">
        <f t="shared" si="15"/>
        <v>0</v>
      </c>
      <c r="K134" s="1035">
        <f t="shared" si="15"/>
        <v>0</v>
      </c>
      <c r="L134" s="1035"/>
      <c r="M134" s="1023"/>
      <c r="N134" s="1023"/>
      <c r="O134" s="1023"/>
      <c r="P134" s="1035"/>
      <c r="Q134" s="1023"/>
      <c r="R134" s="1023"/>
      <c r="S134" s="1023"/>
    </row>
    <row r="135" spans="1:19" hidden="1">
      <c r="A135" s="1058">
        <f t="shared" si="16"/>
        <v>9.5999999999999872</v>
      </c>
      <c r="B135" s="1023"/>
      <c r="C135" s="1035">
        <f t="shared" si="14"/>
        <v>0</v>
      </c>
      <c r="D135" s="1035">
        <f t="shared" si="12"/>
        <v>0</v>
      </c>
      <c r="E135" s="1035"/>
      <c r="F135" s="1035"/>
      <c r="G135" s="1035">
        <f t="shared" si="17"/>
        <v>0</v>
      </c>
      <c r="H135" s="1035"/>
      <c r="I135" s="1035">
        <f t="shared" si="15"/>
        <v>0</v>
      </c>
      <c r="J135" s="1035">
        <f t="shared" si="15"/>
        <v>0</v>
      </c>
      <c r="K135" s="1035">
        <f t="shared" si="15"/>
        <v>0</v>
      </c>
      <c r="L135" s="1035"/>
      <c r="M135" s="1023"/>
      <c r="N135" s="1023"/>
      <c r="O135" s="1023"/>
      <c r="P135" s="1035"/>
      <c r="Q135" s="1023"/>
      <c r="R135" s="1023"/>
      <c r="S135" s="1023"/>
    </row>
    <row r="136" spans="1:19" hidden="1">
      <c r="A136" s="1058">
        <f t="shared" si="16"/>
        <v>9.609999999999987</v>
      </c>
      <c r="B136" s="1023"/>
      <c r="C136" s="1035">
        <f t="shared" si="14"/>
        <v>0</v>
      </c>
      <c r="D136" s="1035">
        <f t="shared" si="12"/>
        <v>0</v>
      </c>
      <c r="E136" s="1035"/>
      <c r="F136" s="1035"/>
      <c r="G136" s="1035">
        <f t="shared" si="17"/>
        <v>0</v>
      </c>
      <c r="H136" s="1035"/>
      <c r="I136" s="1035">
        <f t="shared" si="15"/>
        <v>0</v>
      </c>
      <c r="J136" s="1035">
        <f t="shared" si="15"/>
        <v>0</v>
      </c>
      <c r="K136" s="1035">
        <f t="shared" si="15"/>
        <v>0</v>
      </c>
      <c r="L136" s="1035"/>
      <c r="M136" s="1023"/>
      <c r="N136" s="1023"/>
      <c r="O136" s="1023"/>
      <c r="P136" s="1035"/>
      <c r="Q136" s="1023"/>
      <c r="R136" s="1023"/>
      <c r="S136" s="1023"/>
    </row>
    <row r="137" spans="1:19" hidden="1">
      <c r="A137" s="1058">
        <f t="shared" si="16"/>
        <v>9.6199999999999868</v>
      </c>
      <c r="B137" s="1023"/>
      <c r="C137" s="1035">
        <f t="shared" si="14"/>
        <v>0</v>
      </c>
      <c r="D137" s="1035">
        <f t="shared" si="12"/>
        <v>0</v>
      </c>
      <c r="E137" s="1035"/>
      <c r="F137" s="1035"/>
      <c r="G137" s="1035">
        <f t="shared" si="17"/>
        <v>0</v>
      </c>
      <c r="H137" s="1035"/>
      <c r="I137" s="1035">
        <f t="shared" ref="I137:K157" si="18">(M137+Q137)/2</f>
        <v>0</v>
      </c>
      <c r="J137" s="1035">
        <f t="shared" si="18"/>
        <v>0</v>
      </c>
      <c r="K137" s="1035">
        <f t="shared" si="18"/>
        <v>0</v>
      </c>
      <c r="L137" s="1035"/>
      <c r="M137" s="1023"/>
      <c r="N137" s="1023"/>
      <c r="O137" s="1023"/>
      <c r="P137" s="1035"/>
      <c r="Q137" s="1023"/>
      <c r="R137" s="1023"/>
      <c r="S137" s="1023"/>
    </row>
    <row r="138" spans="1:19" hidden="1">
      <c r="A138" s="1058">
        <f t="shared" si="16"/>
        <v>9.6299999999999866</v>
      </c>
      <c r="B138" s="1023"/>
      <c r="C138" s="1035">
        <f t="shared" si="14"/>
        <v>0</v>
      </c>
      <c r="D138" s="1035">
        <f t="shared" si="12"/>
        <v>0</v>
      </c>
      <c r="E138" s="1035"/>
      <c r="F138" s="1035"/>
      <c r="G138" s="1035">
        <f t="shared" si="17"/>
        <v>0</v>
      </c>
      <c r="H138" s="1035"/>
      <c r="I138" s="1035">
        <f t="shared" si="18"/>
        <v>0</v>
      </c>
      <c r="J138" s="1035">
        <f t="shared" si="18"/>
        <v>0</v>
      </c>
      <c r="K138" s="1035">
        <f t="shared" si="18"/>
        <v>0</v>
      </c>
      <c r="L138" s="1035"/>
      <c r="M138" s="1023"/>
      <c r="N138" s="1023"/>
      <c r="O138" s="1023"/>
      <c r="P138" s="1035"/>
      <c r="Q138" s="1023"/>
      <c r="R138" s="1023"/>
      <c r="S138" s="1023"/>
    </row>
    <row r="139" spans="1:19" hidden="1">
      <c r="A139" s="1058">
        <f t="shared" si="16"/>
        <v>9.6399999999999864</v>
      </c>
      <c r="B139" s="1023"/>
      <c r="C139" s="1039">
        <f t="shared" si="14"/>
        <v>0</v>
      </c>
      <c r="D139" s="1039">
        <f t="shared" si="12"/>
        <v>0</v>
      </c>
      <c r="E139" s="1039"/>
      <c r="F139" s="1039"/>
      <c r="G139" s="1039">
        <f t="shared" si="17"/>
        <v>0</v>
      </c>
      <c r="H139" s="1039"/>
      <c r="I139" s="1039">
        <f t="shared" si="18"/>
        <v>0</v>
      </c>
      <c r="J139" s="1039">
        <f t="shared" si="18"/>
        <v>0</v>
      </c>
      <c r="K139" s="1039">
        <f t="shared" si="18"/>
        <v>0</v>
      </c>
      <c r="L139" s="1039"/>
      <c r="M139" s="1023"/>
      <c r="N139" s="1023"/>
      <c r="O139" s="1023"/>
      <c r="P139" s="1039"/>
      <c r="Q139" s="1023"/>
      <c r="R139" s="1023"/>
      <c r="S139" s="1023"/>
    </row>
    <row r="140" spans="1:19" hidden="1">
      <c r="A140" s="1058">
        <f>A139+0.01</f>
        <v>9.6499999999999861</v>
      </c>
      <c r="B140" s="1023"/>
      <c r="C140" s="1035">
        <f t="shared" si="14"/>
        <v>0</v>
      </c>
      <c r="D140" s="1035">
        <f t="shared" ref="D140:D168" si="19">SUM(Q140:S140)</f>
        <v>0</v>
      </c>
      <c r="E140" s="1035"/>
      <c r="F140" s="1035"/>
      <c r="G140" s="1035">
        <f t="shared" si="17"/>
        <v>0</v>
      </c>
      <c r="H140" s="1035"/>
      <c r="I140" s="1035">
        <f t="shared" si="18"/>
        <v>0</v>
      </c>
      <c r="J140" s="1035">
        <f t="shared" si="18"/>
        <v>0</v>
      </c>
      <c r="K140" s="1035">
        <f t="shared" si="18"/>
        <v>0</v>
      </c>
      <c r="L140" s="1035"/>
      <c r="M140" s="1023"/>
      <c r="N140" s="1023"/>
      <c r="O140" s="1023"/>
      <c r="P140" s="1035"/>
      <c r="Q140" s="1023"/>
      <c r="R140" s="1023"/>
      <c r="S140" s="1023"/>
    </row>
    <row r="141" spans="1:19" hidden="1">
      <c r="A141" s="1058">
        <f t="shared" si="16"/>
        <v>9.6599999999999859</v>
      </c>
      <c r="B141" s="1023"/>
      <c r="C141" s="1035">
        <f t="shared" ref="C141:C168" si="20">SUM(M141:O141)</f>
        <v>0</v>
      </c>
      <c r="D141" s="1035">
        <f t="shared" si="19"/>
        <v>0</v>
      </c>
      <c r="E141" s="1035"/>
      <c r="F141" s="1035"/>
      <c r="G141" s="1035">
        <f t="shared" si="17"/>
        <v>0</v>
      </c>
      <c r="H141" s="1035"/>
      <c r="I141" s="1035">
        <f t="shared" si="18"/>
        <v>0</v>
      </c>
      <c r="J141" s="1035">
        <f t="shared" si="18"/>
        <v>0</v>
      </c>
      <c r="K141" s="1035">
        <f t="shared" si="18"/>
        <v>0</v>
      </c>
      <c r="L141" s="1035"/>
      <c r="M141" s="1023"/>
      <c r="N141" s="1023"/>
      <c r="O141" s="1023"/>
      <c r="P141" s="1035"/>
      <c r="Q141" s="1023"/>
      <c r="R141" s="1023"/>
      <c r="S141" s="1023"/>
    </row>
    <row r="142" spans="1:19" hidden="1">
      <c r="A142" s="1058">
        <f t="shared" ref="A142:A174" si="21">A141+0.01</f>
        <v>9.6699999999999857</v>
      </c>
      <c r="B142" s="1023"/>
      <c r="C142" s="1035">
        <f t="shared" si="20"/>
        <v>0</v>
      </c>
      <c r="D142" s="1035">
        <f t="shared" si="19"/>
        <v>0</v>
      </c>
      <c r="E142" s="1035"/>
      <c r="F142" s="1035"/>
      <c r="G142" s="1035">
        <f t="shared" si="17"/>
        <v>0</v>
      </c>
      <c r="H142" s="1035"/>
      <c r="I142" s="1035">
        <f t="shared" si="18"/>
        <v>0</v>
      </c>
      <c r="J142" s="1035">
        <f t="shared" si="18"/>
        <v>0</v>
      </c>
      <c r="K142" s="1035">
        <f t="shared" si="18"/>
        <v>0</v>
      </c>
      <c r="L142" s="1035"/>
      <c r="M142" s="1023"/>
      <c r="N142" s="1023"/>
      <c r="O142" s="1023"/>
      <c r="P142" s="1035"/>
      <c r="Q142" s="1023"/>
      <c r="R142" s="1023"/>
      <c r="S142" s="1023"/>
    </row>
    <row r="143" spans="1:19" hidden="1">
      <c r="A143" s="1058">
        <f t="shared" si="21"/>
        <v>9.6799999999999855</v>
      </c>
      <c r="B143" s="1023"/>
      <c r="C143" s="1035">
        <f t="shared" si="20"/>
        <v>0</v>
      </c>
      <c r="D143" s="1035">
        <f t="shared" si="19"/>
        <v>0</v>
      </c>
      <c r="E143" s="1035"/>
      <c r="F143" s="1035"/>
      <c r="G143" s="1035">
        <f t="shared" si="17"/>
        <v>0</v>
      </c>
      <c r="H143" s="1035"/>
      <c r="I143" s="1035">
        <f t="shared" si="18"/>
        <v>0</v>
      </c>
      <c r="J143" s="1035">
        <f t="shared" si="18"/>
        <v>0</v>
      </c>
      <c r="K143" s="1035">
        <f t="shared" si="18"/>
        <v>0</v>
      </c>
      <c r="L143" s="1035"/>
      <c r="M143" s="1023"/>
      <c r="N143" s="1023"/>
      <c r="O143" s="1023"/>
      <c r="P143" s="1035"/>
      <c r="Q143" s="1023"/>
      <c r="R143" s="1023"/>
      <c r="S143" s="1023"/>
    </row>
    <row r="144" spans="1:19" hidden="1">
      <c r="A144" s="1058">
        <f t="shared" si="21"/>
        <v>9.6899999999999853</v>
      </c>
      <c r="B144" s="1023"/>
      <c r="C144" s="1035">
        <f t="shared" si="20"/>
        <v>0</v>
      </c>
      <c r="D144" s="1035">
        <f t="shared" si="19"/>
        <v>0</v>
      </c>
      <c r="E144" s="1035"/>
      <c r="F144" s="1035"/>
      <c r="G144" s="1035">
        <f t="shared" si="17"/>
        <v>0</v>
      </c>
      <c r="H144" s="1035"/>
      <c r="I144" s="1035">
        <f t="shared" si="18"/>
        <v>0</v>
      </c>
      <c r="J144" s="1035">
        <f t="shared" si="18"/>
        <v>0</v>
      </c>
      <c r="K144" s="1035">
        <f t="shared" si="18"/>
        <v>0</v>
      </c>
      <c r="L144" s="1035"/>
      <c r="M144" s="1023"/>
      <c r="N144" s="1023"/>
      <c r="O144" s="1023"/>
      <c r="P144" s="1035"/>
      <c r="Q144" s="1023"/>
      <c r="R144" s="1023"/>
      <c r="S144" s="1023"/>
    </row>
    <row r="145" spans="1:19" hidden="1">
      <c r="A145" s="1058">
        <f t="shared" si="21"/>
        <v>9.6999999999999851</v>
      </c>
      <c r="B145" s="1023"/>
      <c r="C145" s="1035">
        <f>SUM(M145:O145)</f>
        <v>0</v>
      </c>
      <c r="D145" s="1035">
        <f t="shared" si="19"/>
        <v>0</v>
      </c>
      <c r="E145" s="1035"/>
      <c r="F145" s="1035"/>
      <c r="G145" s="1035">
        <f t="shared" si="17"/>
        <v>0</v>
      </c>
      <c r="H145" s="1035"/>
      <c r="I145" s="1035">
        <f t="shared" si="18"/>
        <v>0</v>
      </c>
      <c r="J145" s="1035">
        <f t="shared" si="18"/>
        <v>0</v>
      </c>
      <c r="K145" s="1035">
        <f t="shared" si="18"/>
        <v>0</v>
      </c>
      <c r="L145" s="1035"/>
      <c r="M145" s="1023"/>
      <c r="N145" s="1023"/>
      <c r="O145" s="1023"/>
      <c r="P145" s="1035"/>
      <c r="Q145" s="1023"/>
      <c r="R145" s="1023"/>
      <c r="S145" s="1023"/>
    </row>
    <row r="146" spans="1:19" hidden="1">
      <c r="A146" s="1058">
        <f t="shared" si="21"/>
        <v>9.7099999999999849</v>
      </c>
      <c r="B146" s="1023"/>
      <c r="C146" s="1035">
        <f t="shared" si="20"/>
        <v>0</v>
      </c>
      <c r="D146" s="1035">
        <f t="shared" si="19"/>
        <v>0</v>
      </c>
      <c r="E146" s="1035"/>
      <c r="F146" s="1035"/>
      <c r="G146" s="1035">
        <f t="shared" si="17"/>
        <v>0</v>
      </c>
      <c r="H146" s="1035"/>
      <c r="I146" s="1035">
        <f t="shared" si="18"/>
        <v>0</v>
      </c>
      <c r="J146" s="1035">
        <f t="shared" si="18"/>
        <v>0</v>
      </c>
      <c r="K146" s="1035">
        <f t="shared" si="18"/>
        <v>0</v>
      </c>
      <c r="L146" s="1035"/>
      <c r="M146" s="1023"/>
      <c r="N146" s="1023"/>
      <c r="O146" s="1023"/>
      <c r="P146" s="1035"/>
      <c r="Q146" s="1023"/>
      <c r="R146" s="1023"/>
      <c r="S146" s="1023"/>
    </row>
    <row r="147" spans="1:19" hidden="1">
      <c r="A147" s="1058">
        <f t="shared" si="21"/>
        <v>9.7199999999999847</v>
      </c>
      <c r="B147" s="1023"/>
      <c r="C147" s="1035">
        <f>SUM(M147:O147)</f>
        <v>0</v>
      </c>
      <c r="D147" s="1035">
        <f t="shared" si="19"/>
        <v>0</v>
      </c>
      <c r="E147" s="1035"/>
      <c r="F147" s="1035"/>
      <c r="G147" s="1035">
        <f t="shared" si="17"/>
        <v>0</v>
      </c>
      <c r="H147" s="1035"/>
      <c r="I147" s="1035">
        <f t="shared" si="18"/>
        <v>0</v>
      </c>
      <c r="J147" s="1035">
        <f t="shared" si="18"/>
        <v>0</v>
      </c>
      <c r="K147" s="1035">
        <f t="shared" si="18"/>
        <v>0</v>
      </c>
      <c r="L147" s="1035"/>
      <c r="M147" s="1023"/>
      <c r="N147" s="1023"/>
      <c r="O147" s="1023"/>
      <c r="P147" s="1035"/>
      <c r="Q147" s="1023"/>
      <c r="R147" s="1023"/>
      <c r="S147" s="1023"/>
    </row>
    <row r="148" spans="1:19" hidden="1">
      <c r="A148" s="1058">
        <f t="shared" si="21"/>
        <v>9.7299999999999844</v>
      </c>
      <c r="B148" s="1023"/>
      <c r="C148" s="1035">
        <f>SUM(M148:O148)</f>
        <v>0</v>
      </c>
      <c r="D148" s="1035">
        <f t="shared" si="19"/>
        <v>0</v>
      </c>
      <c r="E148" s="1035"/>
      <c r="F148" s="1035"/>
      <c r="G148" s="1035">
        <f t="shared" si="17"/>
        <v>0</v>
      </c>
      <c r="H148" s="1035"/>
      <c r="I148" s="1035">
        <f t="shared" si="18"/>
        <v>0</v>
      </c>
      <c r="J148" s="1035">
        <f t="shared" si="18"/>
        <v>0</v>
      </c>
      <c r="K148" s="1035">
        <f t="shared" si="18"/>
        <v>0</v>
      </c>
      <c r="L148" s="1035"/>
      <c r="M148" s="1023"/>
      <c r="N148" s="1023"/>
      <c r="O148" s="1023"/>
      <c r="P148" s="1035"/>
      <c r="Q148" s="1023"/>
      <c r="R148" s="1023"/>
      <c r="S148" s="1023"/>
    </row>
    <row r="149" spans="1:19" hidden="1">
      <c r="A149" s="1058">
        <f t="shared" si="21"/>
        <v>9.7399999999999842</v>
      </c>
      <c r="B149" s="1023"/>
      <c r="C149" s="1035">
        <f>SUM(M149:O149)</f>
        <v>0</v>
      </c>
      <c r="D149" s="1035">
        <f t="shared" si="19"/>
        <v>0</v>
      </c>
      <c r="E149" s="1035"/>
      <c r="F149" s="1035"/>
      <c r="G149" s="1035">
        <f t="shared" si="17"/>
        <v>0</v>
      </c>
      <c r="H149" s="1035"/>
      <c r="I149" s="1035">
        <f t="shared" si="18"/>
        <v>0</v>
      </c>
      <c r="J149" s="1035">
        <f t="shared" si="18"/>
        <v>0</v>
      </c>
      <c r="K149" s="1035">
        <f t="shared" si="18"/>
        <v>0</v>
      </c>
      <c r="L149" s="1035"/>
      <c r="M149" s="1023"/>
      <c r="N149" s="1023"/>
      <c r="O149" s="1023"/>
      <c r="P149" s="1035"/>
      <c r="Q149" s="1023"/>
      <c r="R149" s="1023"/>
      <c r="S149" s="1023"/>
    </row>
    <row r="150" spans="1:19" hidden="1">
      <c r="A150" s="1058">
        <f t="shared" si="21"/>
        <v>9.749999999999984</v>
      </c>
      <c r="B150" s="1023"/>
      <c r="C150" s="1035">
        <f>SUM(M150:O150)</f>
        <v>0</v>
      </c>
      <c r="D150" s="1035">
        <f t="shared" si="19"/>
        <v>0</v>
      </c>
      <c r="E150" s="1035"/>
      <c r="F150" s="1035"/>
      <c r="G150" s="1035">
        <f t="shared" si="17"/>
        <v>0</v>
      </c>
      <c r="H150" s="1035"/>
      <c r="I150" s="1035">
        <f t="shared" si="18"/>
        <v>0</v>
      </c>
      <c r="J150" s="1035">
        <f t="shared" si="18"/>
        <v>0</v>
      </c>
      <c r="K150" s="1035">
        <f t="shared" si="18"/>
        <v>0</v>
      </c>
      <c r="L150" s="1035"/>
      <c r="M150" s="1023"/>
      <c r="N150" s="1023"/>
      <c r="O150" s="1023"/>
      <c r="P150" s="1035"/>
      <c r="Q150" s="1023"/>
      <c r="R150" s="1023"/>
      <c r="S150" s="1023"/>
    </row>
    <row r="151" spans="1:19" hidden="1">
      <c r="A151" s="1058">
        <f t="shared" si="21"/>
        <v>9.7599999999999838</v>
      </c>
      <c r="B151" s="1023"/>
      <c r="C151" s="1035">
        <f t="shared" si="20"/>
        <v>0</v>
      </c>
      <c r="D151" s="1035">
        <f t="shared" si="19"/>
        <v>0</v>
      </c>
      <c r="E151" s="1035"/>
      <c r="F151" s="1035"/>
      <c r="G151" s="1035">
        <f t="shared" si="17"/>
        <v>0</v>
      </c>
      <c r="H151" s="1035"/>
      <c r="I151" s="1035">
        <f t="shared" si="18"/>
        <v>0</v>
      </c>
      <c r="J151" s="1035">
        <f t="shared" si="18"/>
        <v>0</v>
      </c>
      <c r="K151" s="1035">
        <f t="shared" si="18"/>
        <v>0</v>
      </c>
      <c r="L151" s="1035"/>
      <c r="M151" s="1023"/>
      <c r="N151" s="1023"/>
      <c r="O151" s="1023"/>
      <c r="P151" s="1035"/>
      <c r="Q151" s="1023"/>
      <c r="R151" s="1023"/>
      <c r="S151" s="1023"/>
    </row>
    <row r="152" spans="1:19" hidden="1">
      <c r="A152" s="1058">
        <f t="shared" si="21"/>
        <v>9.7699999999999836</v>
      </c>
      <c r="B152" s="1023"/>
      <c r="C152" s="1035">
        <f t="shared" si="20"/>
        <v>0</v>
      </c>
      <c r="D152" s="1035">
        <f t="shared" si="19"/>
        <v>0</v>
      </c>
      <c r="E152" s="1035"/>
      <c r="F152" s="1035"/>
      <c r="G152" s="1035">
        <f t="shared" si="17"/>
        <v>0</v>
      </c>
      <c r="H152" s="1035"/>
      <c r="I152" s="1035">
        <f t="shared" si="18"/>
        <v>0</v>
      </c>
      <c r="J152" s="1035">
        <f t="shared" si="18"/>
        <v>0</v>
      </c>
      <c r="K152" s="1035">
        <f t="shared" si="18"/>
        <v>0</v>
      </c>
      <c r="L152" s="1035"/>
      <c r="M152" s="1023"/>
      <c r="N152" s="1023"/>
      <c r="O152" s="1023"/>
      <c r="P152" s="1035"/>
      <c r="Q152" s="1023"/>
      <c r="R152" s="1023"/>
      <c r="S152" s="1023"/>
    </row>
    <row r="153" spans="1:19" hidden="1">
      <c r="A153" s="1058">
        <f t="shared" si="21"/>
        <v>9.7799999999999834</v>
      </c>
      <c r="B153" s="1023"/>
      <c r="C153" s="1035">
        <f t="shared" si="20"/>
        <v>0</v>
      </c>
      <c r="D153" s="1035">
        <f t="shared" si="19"/>
        <v>0</v>
      </c>
      <c r="E153" s="1035"/>
      <c r="F153" s="1035"/>
      <c r="G153" s="1035">
        <f t="shared" si="17"/>
        <v>0</v>
      </c>
      <c r="H153" s="1035"/>
      <c r="I153" s="1035">
        <f t="shared" si="18"/>
        <v>0</v>
      </c>
      <c r="J153" s="1035">
        <f t="shared" si="18"/>
        <v>0</v>
      </c>
      <c r="K153" s="1035">
        <f t="shared" si="18"/>
        <v>0</v>
      </c>
      <c r="L153" s="1035"/>
      <c r="M153" s="1023"/>
      <c r="N153" s="1023"/>
      <c r="O153" s="1023"/>
      <c r="P153" s="1035"/>
      <c r="Q153" s="1023"/>
      <c r="R153" s="1023"/>
      <c r="S153" s="1023"/>
    </row>
    <row r="154" spans="1:19" hidden="1">
      <c r="A154" s="1058">
        <f t="shared" si="21"/>
        <v>9.7899999999999832</v>
      </c>
      <c r="B154" s="1023"/>
      <c r="C154" s="1035">
        <f t="shared" si="20"/>
        <v>0</v>
      </c>
      <c r="D154" s="1035">
        <f t="shared" si="19"/>
        <v>0</v>
      </c>
      <c r="E154" s="1035"/>
      <c r="F154" s="1035"/>
      <c r="G154" s="1035">
        <f t="shared" si="17"/>
        <v>0</v>
      </c>
      <c r="H154" s="1035"/>
      <c r="I154" s="1035">
        <f t="shared" si="18"/>
        <v>0</v>
      </c>
      <c r="J154" s="1035">
        <f t="shared" si="18"/>
        <v>0</v>
      </c>
      <c r="K154" s="1035">
        <f t="shared" si="18"/>
        <v>0</v>
      </c>
      <c r="L154" s="1035"/>
      <c r="M154" s="1023"/>
      <c r="N154" s="1023"/>
      <c r="O154" s="1023"/>
      <c r="P154" s="1035"/>
      <c r="Q154" s="1023"/>
      <c r="R154" s="1023"/>
      <c r="S154" s="1023"/>
    </row>
    <row r="155" spans="1:19" hidden="1">
      <c r="A155" s="1058">
        <f t="shared" si="21"/>
        <v>9.7999999999999829</v>
      </c>
      <c r="B155" s="1023"/>
      <c r="C155" s="1035">
        <f t="shared" si="20"/>
        <v>0</v>
      </c>
      <c r="D155" s="1035">
        <f t="shared" si="19"/>
        <v>0</v>
      </c>
      <c r="E155" s="1035"/>
      <c r="F155" s="1035"/>
      <c r="G155" s="1035">
        <f t="shared" si="17"/>
        <v>0</v>
      </c>
      <c r="H155" s="1035"/>
      <c r="I155" s="1035">
        <f t="shared" si="18"/>
        <v>0</v>
      </c>
      <c r="J155" s="1035">
        <f t="shared" si="18"/>
        <v>0</v>
      </c>
      <c r="K155" s="1035">
        <f t="shared" si="18"/>
        <v>0</v>
      </c>
      <c r="L155" s="1035"/>
      <c r="M155" s="1023"/>
      <c r="N155" s="1023"/>
      <c r="O155" s="1023"/>
      <c r="P155" s="1035"/>
      <c r="Q155" s="1023"/>
      <c r="R155" s="1023"/>
      <c r="S155" s="1023"/>
    </row>
    <row r="156" spans="1:19" hidden="1">
      <c r="A156" s="1058">
        <f t="shared" si="21"/>
        <v>9.8099999999999827</v>
      </c>
      <c r="B156" s="1023"/>
      <c r="C156" s="1035">
        <f t="shared" si="20"/>
        <v>0</v>
      </c>
      <c r="D156" s="1035">
        <f t="shared" si="19"/>
        <v>0</v>
      </c>
      <c r="E156" s="1035"/>
      <c r="F156" s="1035"/>
      <c r="G156" s="1035">
        <f t="shared" si="17"/>
        <v>0</v>
      </c>
      <c r="H156" s="1035"/>
      <c r="I156" s="1035">
        <f t="shared" si="18"/>
        <v>0</v>
      </c>
      <c r="J156" s="1035">
        <f t="shared" si="18"/>
        <v>0</v>
      </c>
      <c r="K156" s="1035">
        <f t="shared" si="18"/>
        <v>0</v>
      </c>
      <c r="L156" s="1035"/>
      <c r="M156" s="1023"/>
      <c r="N156" s="1023"/>
      <c r="O156" s="1023"/>
      <c r="P156" s="1035"/>
      <c r="Q156" s="1023"/>
      <c r="R156" s="1023"/>
      <c r="S156" s="1023"/>
    </row>
    <row r="157" spans="1:19" hidden="1">
      <c r="A157" s="1058">
        <f t="shared" si="21"/>
        <v>9.8199999999999825</v>
      </c>
      <c r="B157" s="1023"/>
      <c r="C157" s="1035">
        <f t="shared" si="20"/>
        <v>0</v>
      </c>
      <c r="D157" s="1035">
        <f t="shared" si="19"/>
        <v>0</v>
      </c>
      <c r="E157" s="1035"/>
      <c r="F157" s="1035"/>
      <c r="G157" s="1035">
        <f t="shared" si="17"/>
        <v>0</v>
      </c>
      <c r="H157" s="1035"/>
      <c r="I157" s="1035">
        <f t="shared" si="18"/>
        <v>0</v>
      </c>
      <c r="J157" s="1035">
        <f t="shared" si="18"/>
        <v>0</v>
      </c>
      <c r="K157" s="1035">
        <f t="shared" si="18"/>
        <v>0</v>
      </c>
      <c r="L157" s="1035"/>
      <c r="M157" s="1023"/>
      <c r="N157" s="1023"/>
      <c r="O157" s="1023"/>
      <c r="P157" s="1035"/>
      <c r="Q157" s="1023"/>
      <c r="R157" s="1023"/>
      <c r="S157" s="1023"/>
    </row>
    <row r="158" spans="1:19" hidden="1">
      <c r="A158" s="1058">
        <f t="shared" si="21"/>
        <v>9.8299999999999823</v>
      </c>
      <c r="B158" s="1023"/>
      <c r="C158" s="1035">
        <f>SUM(M158:O158)</f>
        <v>0</v>
      </c>
      <c r="D158" s="1035">
        <f t="shared" si="19"/>
        <v>0</v>
      </c>
      <c r="E158" s="1035"/>
      <c r="F158" s="1035"/>
      <c r="G158" s="1035">
        <f t="shared" si="17"/>
        <v>0</v>
      </c>
      <c r="H158" s="1035"/>
      <c r="I158" s="1035">
        <f t="shared" ref="I158:K168" si="22">(M158+Q158)/2</f>
        <v>0</v>
      </c>
      <c r="J158" s="1035">
        <f t="shared" si="22"/>
        <v>0</v>
      </c>
      <c r="K158" s="1035">
        <f t="shared" si="22"/>
        <v>0</v>
      </c>
      <c r="L158" s="1035"/>
      <c r="M158" s="1023"/>
      <c r="N158" s="1023"/>
      <c r="O158" s="1023"/>
      <c r="P158" s="1035"/>
      <c r="Q158" s="1023"/>
      <c r="R158" s="1023"/>
      <c r="S158" s="1023"/>
    </row>
    <row r="159" spans="1:19" hidden="1">
      <c r="A159" s="1058">
        <f t="shared" si="21"/>
        <v>9.8399999999999821</v>
      </c>
      <c r="B159" s="1023"/>
      <c r="C159" s="1035">
        <f>SUM(M159:O159)</f>
        <v>0</v>
      </c>
      <c r="D159" s="1035">
        <f t="shared" si="19"/>
        <v>0</v>
      </c>
      <c r="E159" s="1035"/>
      <c r="F159" s="1035"/>
      <c r="G159" s="1035">
        <f t="shared" si="17"/>
        <v>0</v>
      </c>
      <c r="H159" s="1035"/>
      <c r="I159" s="1035">
        <f t="shared" si="22"/>
        <v>0</v>
      </c>
      <c r="J159" s="1035">
        <f t="shared" si="22"/>
        <v>0</v>
      </c>
      <c r="K159" s="1035">
        <f t="shared" si="22"/>
        <v>0</v>
      </c>
      <c r="L159" s="1035"/>
      <c r="M159" s="1023"/>
      <c r="N159" s="1023"/>
      <c r="O159" s="1023"/>
      <c r="P159" s="1035"/>
      <c r="Q159" s="1023"/>
      <c r="R159" s="1023"/>
      <c r="S159" s="1023"/>
    </row>
    <row r="160" spans="1:19" hidden="1">
      <c r="A160" s="1058">
        <f t="shared" si="21"/>
        <v>9.8499999999999819</v>
      </c>
      <c r="B160" s="1023"/>
      <c r="C160" s="1035">
        <f>SUM(M160:O160)</f>
        <v>0</v>
      </c>
      <c r="D160" s="1035">
        <f t="shared" si="19"/>
        <v>0</v>
      </c>
      <c r="E160" s="1035"/>
      <c r="F160" s="1035"/>
      <c r="G160" s="1035">
        <f t="shared" si="17"/>
        <v>0</v>
      </c>
      <c r="H160" s="1035"/>
      <c r="I160" s="1035">
        <f t="shared" si="22"/>
        <v>0</v>
      </c>
      <c r="J160" s="1035">
        <f t="shared" si="22"/>
        <v>0</v>
      </c>
      <c r="K160" s="1035">
        <f t="shared" si="22"/>
        <v>0</v>
      </c>
      <c r="L160" s="1035"/>
      <c r="M160" s="1023"/>
      <c r="N160" s="1023"/>
      <c r="O160" s="1023"/>
      <c r="P160" s="1035"/>
      <c r="Q160" s="1023"/>
      <c r="R160" s="1023"/>
      <c r="S160" s="1023"/>
    </row>
    <row r="161" spans="1:19" hidden="1">
      <c r="A161" s="1058">
        <f t="shared" si="21"/>
        <v>9.8599999999999817</v>
      </c>
      <c r="B161" s="1023"/>
      <c r="C161" s="1035">
        <f>SUM(M161:O161)</f>
        <v>0</v>
      </c>
      <c r="D161" s="1035">
        <f t="shared" si="19"/>
        <v>0</v>
      </c>
      <c r="E161" s="1035"/>
      <c r="F161" s="1035"/>
      <c r="G161" s="1035">
        <f t="shared" si="17"/>
        <v>0</v>
      </c>
      <c r="H161" s="1035"/>
      <c r="I161" s="1035">
        <f t="shared" si="22"/>
        <v>0</v>
      </c>
      <c r="J161" s="1035">
        <f t="shared" si="22"/>
        <v>0</v>
      </c>
      <c r="K161" s="1035">
        <f t="shared" si="22"/>
        <v>0</v>
      </c>
      <c r="L161" s="1035"/>
      <c r="M161" s="1023"/>
      <c r="N161" s="1023"/>
      <c r="O161" s="1023"/>
      <c r="P161" s="1035"/>
      <c r="Q161" s="1023"/>
      <c r="R161" s="1023"/>
      <c r="S161" s="1023"/>
    </row>
    <row r="162" spans="1:19" hidden="1">
      <c r="A162" s="1058">
        <f t="shared" si="21"/>
        <v>9.8699999999999815</v>
      </c>
      <c r="B162" s="1023"/>
      <c r="C162" s="1035">
        <f t="shared" si="20"/>
        <v>0</v>
      </c>
      <c r="D162" s="1035">
        <f t="shared" si="19"/>
        <v>0</v>
      </c>
      <c r="E162" s="1035"/>
      <c r="F162" s="1035"/>
      <c r="G162" s="1035">
        <f t="shared" si="17"/>
        <v>0</v>
      </c>
      <c r="H162" s="1035"/>
      <c r="I162" s="1035">
        <f t="shared" si="22"/>
        <v>0</v>
      </c>
      <c r="J162" s="1035">
        <f t="shared" si="22"/>
        <v>0</v>
      </c>
      <c r="K162" s="1035">
        <f t="shared" si="22"/>
        <v>0</v>
      </c>
      <c r="L162" s="1035"/>
      <c r="M162" s="1023"/>
      <c r="N162" s="1023"/>
      <c r="O162" s="1023"/>
      <c r="P162" s="1035"/>
      <c r="Q162" s="1023"/>
      <c r="R162" s="1023"/>
      <c r="S162" s="1023"/>
    </row>
    <row r="163" spans="1:19" hidden="1">
      <c r="A163" s="1058">
        <f t="shared" si="21"/>
        <v>9.8799999999999812</v>
      </c>
      <c r="B163" s="1023"/>
      <c r="C163" s="1035">
        <f t="shared" si="20"/>
        <v>0</v>
      </c>
      <c r="D163" s="1035">
        <f t="shared" si="19"/>
        <v>0</v>
      </c>
      <c r="E163" s="1035"/>
      <c r="F163" s="1035"/>
      <c r="G163" s="1035">
        <f t="shared" si="17"/>
        <v>0</v>
      </c>
      <c r="H163" s="1035"/>
      <c r="I163" s="1035">
        <f t="shared" si="22"/>
        <v>0</v>
      </c>
      <c r="J163" s="1035">
        <f t="shared" si="22"/>
        <v>0</v>
      </c>
      <c r="K163" s="1035">
        <f t="shared" si="22"/>
        <v>0</v>
      </c>
      <c r="L163" s="1035"/>
      <c r="M163" s="1023"/>
      <c r="N163" s="1023"/>
      <c r="O163" s="1023"/>
      <c r="P163" s="1035"/>
      <c r="Q163" s="1023"/>
      <c r="R163" s="1023"/>
      <c r="S163" s="1023"/>
    </row>
    <row r="164" spans="1:19" hidden="1">
      <c r="A164" s="1058">
        <f t="shared" si="21"/>
        <v>9.889999999999981</v>
      </c>
      <c r="B164" s="1023"/>
      <c r="C164" s="1035">
        <f t="shared" si="20"/>
        <v>0</v>
      </c>
      <c r="D164" s="1035">
        <f t="shared" si="19"/>
        <v>0</v>
      </c>
      <c r="E164" s="1035"/>
      <c r="F164" s="1035"/>
      <c r="G164" s="1035">
        <f t="shared" si="17"/>
        <v>0</v>
      </c>
      <c r="H164" s="1035"/>
      <c r="I164" s="1035">
        <f t="shared" si="22"/>
        <v>0</v>
      </c>
      <c r="J164" s="1035">
        <f t="shared" si="22"/>
        <v>0</v>
      </c>
      <c r="K164" s="1035">
        <f t="shared" si="22"/>
        <v>0</v>
      </c>
      <c r="L164" s="1035"/>
      <c r="M164" s="1023"/>
      <c r="N164" s="1023"/>
      <c r="O164" s="1023"/>
      <c r="P164" s="1035"/>
      <c r="Q164" s="1023"/>
      <c r="R164" s="1023"/>
      <c r="S164" s="1023"/>
    </row>
    <row r="165" spans="1:19" hidden="1">
      <c r="A165" s="1058">
        <f t="shared" si="21"/>
        <v>9.8999999999999808</v>
      </c>
      <c r="B165" s="1023"/>
      <c r="C165" s="1035">
        <f t="shared" si="20"/>
        <v>0</v>
      </c>
      <c r="D165" s="1035">
        <f t="shared" si="19"/>
        <v>0</v>
      </c>
      <c r="E165" s="1035"/>
      <c r="F165" s="1035"/>
      <c r="G165" s="1035">
        <f t="shared" si="17"/>
        <v>0</v>
      </c>
      <c r="H165" s="1035"/>
      <c r="I165" s="1035">
        <f t="shared" si="22"/>
        <v>0</v>
      </c>
      <c r="J165" s="1035">
        <f t="shared" si="22"/>
        <v>0</v>
      </c>
      <c r="K165" s="1035">
        <f t="shared" si="22"/>
        <v>0</v>
      </c>
      <c r="L165" s="1035"/>
      <c r="M165" s="1023"/>
      <c r="N165" s="1023"/>
      <c r="O165" s="1023"/>
      <c r="P165" s="1035"/>
      <c r="Q165" s="1023"/>
      <c r="R165" s="1023"/>
      <c r="S165" s="1023"/>
    </row>
    <row r="166" spans="1:19" hidden="1">
      <c r="A166" s="1058">
        <f t="shared" si="21"/>
        <v>9.9099999999999806</v>
      </c>
      <c r="B166" s="1023"/>
      <c r="C166" s="1035">
        <f t="shared" si="20"/>
        <v>0</v>
      </c>
      <c r="D166" s="1035">
        <f t="shared" si="19"/>
        <v>0</v>
      </c>
      <c r="E166" s="1035"/>
      <c r="F166" s="1035"/>
      <c r="G166" s="1035">
        <f>ROUND(SUM(C166:F166)/2,0)</f>
        <v>0</v>
      </c>
      <c r="H166" s="1035"/>
      <c r="I166" s="1035">
        <f t="shared" si="22"/>
        <v>0</v>
      </c>
      <c r="J166" s="1035">
        <f t="shared" si="22"/>
        <v>0</v>
      </c>
      <c r="K166" s="1035">
        <f t="shared" si="22"/>
        <v>0</v>
      </c>
      <c r="L166" s="1035"/>
      <c r="M166" s="1023"/>
      <c r="N166" s="1023"/>
      <c r="O166" s="1023"/>
      <c r="P166" s="1035"/>
      <c r="Q166" s="1023"/>
      <c r="R166" s="1023"/>
      <c r="S166" s="1023"/>
    </row>
    <row r="167" spans="1:19" hidden="1">
      <c r="A167" s="1058">
        <f t="shared" si="21"/>
        <v>9.9199999999999804</v>
      </c>
      <c r="B167" s="1023"/>
      <c r="C167" s="1035">
        <f t="shared" si="20"/>
        <v>0</v>
      </c>
      <c r="D167" s="1035">
        <f t="shared" si="19"/>
        <v>0</v>
      </c>
      <c r="E167" s="1035"/>
      <c r="F167" s="1035"/>
      <c r="G167" s="1035">
        <f t="shared" si="17"/>
        <v>0</v>
      </c>
      <c r="H167" s="1035"/>
      <c r="I167" s="1035">
        <f t="shared" si="22"/>
        <v>0</v>
      </c>
      <c r="J167" s="1035">
        <f t="shared" si="22"/>
        <v>0</v>
      </c>
      <c r="K167" s="1035">
        <f t="shared" si="22"/>
        <v>0</v>
      </c>
      <c r="L167" s="1035"/>
      <c r="M167" s="1023"/>
      <c r="N167" s="1023"/>
      <c r="O167" s="1023"/>
      <c r="P167" s="1035"/>
      <c r="Q167" s="1023"/>
      <c r="R167" s="1023"/>
      <c r="S167" s="1023"/>
    </row>
    <row r="168" spans="1:19">
      <c r="A168" s="1058">
        <f t="shared" si="21"/>
        <v>9.9299999999999802</v>
      </c>
      <c r="B168" s="1023"/>
      <c r="C168" s="1035">
        <f t="shared" si="20"/>
        <v>0</v>
      </c>
      <c r="D168" s="1035">
        <f t="shared" si="19"/>
        <v>0</v>
      </c>
      <c r="E168" s="1035"/>
      <c r="F168" s="1035"/>
      <c r="G168" s="1035">
        <f t="shared" si="17"/>
        <v>0</v>
      </c>
      <c r="H168" s="1035"/>
      <c r="I168" s="1035">
        <f t="shared" si="22"/>
        <v>0</v>
      </c>
      <c r="J168" s="1035">
        <f t="shared" si="22"/>
        <v>0</v>
      </c>
      <c r="K168" s="1035">
        <f t="shared" si="22"/>
        <v>0</v>
      </c>
      <c r="L168" s="1035"/>
      <c r="M168" s="1023"/>
      <c r="N168" s="1023"/>
      <c r="O168" s="1023"/>
      <c r="P168" s="1035"/>
      <c r="Q168" s="1023"/>
      <c r="R168" s="1023"/>
      <c r="S168" s="1023"/>
    </row>
    <row r="169" spans="1:19">
      <c r="A169" s="1058">
        <f t="shared" si="21"/>
        <v>9.93999999999998</v>
      </c>
      <c r="B169" s="1023"/>
      <c r="C169" s="1023"/>
      <c r="D169" s="1023"/>
      <c r="E169" s="1035">
        <f t="shared" ref="E169:F174" si="23">-C169</f>
        <v>0</v>
      </c>
      <c r="F169" s="1035">
        <f t="shared" si="23"/>
        <v>0</v>
      </c>
      <c r="G169" s="1035">
        <f t="shared" si="17"/>
        <v>0</v>
      </c>
      <c r="H169" s="1035"/>
      <c r="I169" s="1035"/>
      <c r="J169" s="1035"/>
      <c r="K169" s="1035"/>
      <c r="L169" s="1035"/>
      <c r="M169" s="1035"/>
      <c r="N169" s="1035"/>
      <c r="O169" s="1035"/>
      <c r="P169" s="1035"/>
      <c r="Q169" s="1035"/>
      <c r="R169" s="1035"/>
      <c r="S169" s="1035"/>
    </row>
    <row r="170" spans="1:19">
      <c r="A170" s="1058">
        <f t="shared" si="21"/>
        <v>9.9499999999999797</v>
      </c>
      <c r="B170" s="1023"/>
      <c r="C170" s="1023"/>
      <c r="D170" s="1023"/>
      <c r="E170" s="1035">
        <f t="shared" si="23"/>
        <v>0</v>
      </c>
      <c r="F170" s="1035">
        <f t="shared" si="23"/>
        <v>0</v>
      </c>
      <c r="G170" s="1035">
        <f t="shared" si="17"/>
        <v>0</v>
      </c>
      <c r="H170" s="1035"/>
      <c r="I170" s="1035"/>
      <c r="J170" s="1035"/>
      <c r="K170" s="1035"/>
      <c r="L170" s="1035"/>
      <c r="M170" s="1035"/>
      <c r="N170" s="1035"/>
      <c r="O170" s="1035"/>
      <c r="P170" s="1035"/>
      <c r="Q170" s="1035"/>
      <c r="R170" s="1035"/>
      <c r="S170" s="1035"/>
    </row>
    <row r="171" spans="1:19">
      <c r="A171" s="1058">
        <f t="shared" si="21"/>
        <v>9.9599999999999795</v>
      </c>
      <c r="B171" s="1023"/>
      <c r="C171" s="1023"/>
      <c r="D171" s="1023"/>
      <c r="E171" s="1035">
        <f t="shared" si="23"/>
        <v>0</v>
      </c>
      <c r="F171" s="1035">
        <f t="shared" si="23"/>
        <v>0</v>
      </c>
      <c r="G171" s="1035">
        <f t="shared" si="17"/>
        <v>0</v>
      </c>
      <c r="H171" s="1035"/>
      <c r="I171" s="1035"/>
      <c r="J171" s="1035"/>
      <c r="K171" s="1035"/>
      <c r="L171" s="1035"/>
      <c r="M171" s="1035"/>
      <c r="N171" s="1035"/>
      <c r="O171" s="1035"/>
      <c r="P171" s="1035"/>
      <c r="Q171" s="1035"/>
      <c r="R171" s="1035"/>
      <c r="S171" s="1035"/>
    </row>
    <row r="172" spans="1:19">
      <c r="A172" s="1058">
        <f t="shared" si="21"/>
        <v>9.9699999999999793</v>
      </c>
      <c r="B172" s="1023"/>
      <c r="C172" s="1023"/>
      <c r="D172" s="1023"/>
      <c r="E172" s="1035">
        <f>-C172</f>
        <v>0</v>
      </c>
      <c r="F172" s="1035">
        <f>-D172</f>
        <v>0</v>
      </c>
      <c r="G172" s="1035">
        <f t="shared" si="17"/>
        <v>0</v>
      </c>
      <c r="H172" s="1035"/>
      <c r="I172" s="1035"/>
      <c r="J172" s="1035"/>
      <c r="K172" s="1035"/>
      <c r="L172" s="1035"/>
      <c r="M172" s="1035"/>
      <c r="N172" s="1035"/>
      <c r="O172" s="1035"/>
      <c r="P172" s="1035"/>
      <c r="Q172" s="1035"/>
      <c r="R172" s="1035"/>
      <c r="S172" s="1035"/>
    </row>
    <row r="173" spans="1:19">
      <c r="A173" s="1058">
        <f t="shared" si="21"/>
        <v>9.9799999999999791</v>
      </c>
      <c r="B173" s="1023"/>
      <c r="C173" s="1023"/>
      <c r="D173" s="1023"/>
      <c r="E173" s="1035">
        <f>-C173</f>
        <v>0</v>
      </c>
      <c r="F173" s="1035">
        <f>-D173</f>
        <v>0</v>
      </c>
      <c r="G173" s="1035">
        <f t="shared" si="17"/>
        <v>0</v>
      </c>
      <c r="H173" s="1035"/>
      <c r="I173" s="1035"/>
      <c r="J173" s="1035"/>
      <c r="K173" s="1035"/>
      <c r="L173" s="1035"/>
      <c r="M173" s="1035"/>
      <c r="N173" s="1035"/>
      <c r="O173" s="1035"/>
      <c r="P173" s="1035"/>
      <c r="Q173" s="1035"/>
      <c r="R173" s="1035"/>
      <c r="S173" s="1035"/>
    </row>
    <row r="174" spans="1:19">
      <c r="A174" s="1058">
        <f t="shared" si="21"/>
        <v>9.9899999999999789</v>
      </c>
      <c r="B174" s="1023"/>
      <c r="C174" s="1023"/>
      <c r="D174" s="1023"/>
      <c r="E174" s="1035">
        <f t="shared" si="23"/>
        <v>0</v>
      </c>
      <c r="F174" s="1035">
        <f t="shared" si="23"/>
        <v>0</v>
      </c>
      <c r="G174" s="1035">
        <f t="shared" si="17"/>
        <v>0</v>
      </c>
      <c r="H174" s="1035"/>
      <c r="I174" s="1035"/>
      <c r="J174" s="1035"/>
      <c r="K174" s="1035"/>
      <c r="L174" s="1035"/>
      <c r="M174" s="1035"/>
      <c r="N174" s="1035"/>
      <c r="O174" s="1035"/>
      <c r="P174" s="1035"/>
      <c r="Q174" s="1035"/>
      <c r="R174" s="1035"/>
      <c r="S174" s="1035"/>
    </row>
    <row r="175" spans="1:19">
      <c r="A175" s="1044"/>
      <c r="B175" s="1027"/>
      <c r="C175" s="1035"/>
      <c r="D175" s="1035"/>
      <c r="E175" s="1035"/>
      <c r="F175" s="1035"/>
      <c r="G175" s="1035"/>
      <c r="H175" s="1035"/>
      <c r="I175" s="1035"/>
      <c r="J175" s="1035"/>
      <c r="K175" s="1035"/>
      <c r="L175" s="1035"/>
      <c r="M175" s="1035"/>
      <c r="N175" s="1035"/>
      <c r="O175" s="1035"/>
      <c r="P175" s="1035"/>
      <c r="Q175" s="1035"/>
      <c r="R175" s="1035"/>
      <c r="S175" s="1035"/>
    </row>
    <row r="176" spans="1:19">
      <c r="A176" s="1044"/>
      <c r="B176" s="1027"/>
      <c r="C176" s="1035"/>
      <c r="D176" s="1035"/>
      <c r="E176" s="1035"/>
      <c r="F176" s="1035"/>
      <c r="G176" s="1035"/>
      <c r="H176" s="1035"/>
      <c r="I176" s="1035"/>
      <c r="J176" s="1035"/>
      <c r="K176" s="1035"/>
      <c r="L176" s="1035"/>
      <c r="M176" s="1035"/>
      <c r="N176" s="1035"/>
      <c r="O176" s="1035"/>
      <c r="P176" s="1035"/>
      <c r="Q176" s="1035"/>
      <c r="R176" s="1035"/>
      <c r="S176" s="1035"/>
    </row>
    <row r="177" spans="1:19" ht="13.5" thickBot="1">
      <c r="A177" s="1044">
        <v>10</v>
      </c>
      <c r="B177" s="1024"/>
      <c r="C177" s="1037">
        <f>SUM(C76:C176)</f>
        <v>0</v>
      </c>
      <c r="D177" s="1037">
        <f>SUM(D76:D176)</f>
        <v>0</v>
      </c>
      <c r="E177" s="1037">
        <f>SUM(E76:E176)</f>
        <v>0</v>
      </c>
      <c r="F177" s="1037">
        <f>SUM(F76:F176)</f>
        <v>0</v>
      </c>
      <c r="G177" s="1037">
        <f>SUM(G76:G176)</f>
        <v>0</v>
      </c>
      <c r="H177" s="1035"/>
      <c r="I177" s="1037">
        <f>SUM(I76:I176)</f>
        <v>0</v>
      </c>
      <c r="J177" s="1037">
        <f>SUM(J76:J176)</f>
        <v>0</v>
      </c>
      <c r="K177" s="1037">
        <f>SUM(K76:K176)</f>
        <v>0</v>
      </c>
      <c r="L177" s="1035"/>
      <c r="M177" s="1037">
        <f>SUM(M76:M176)</f>
        <v>0</v>
      </c>
      <c r="N177" s="1037">
        <f>SUM(N76:N176)</f>
        <v>0</v>
      </c>
      <c r="O177" s="1037">
        <f>SUM(O76:O176)</f>
        <v>0</v>
      </c>
      <c r="P177" s="1035"/>
      <c r="Q177" s="1037">
        <f>SUM(Q76:Q176)</f>
        <v>0</v>
      </c>
      <c r="R177" s="1037">
        <f>SUM(R76:R176)</f>
        <v>0</v>
      </c>
      <c r="S177" s="1037">
        <f>SUM(S76:S176)</f>
        <v>0</v>
      </c>
    </row>
    <row r="178" spans="1:19" ht="13.5" thickTop="1">
      <c r="A178" s="1044"/>
      <c r="B178" s="1027"/>
      <c r="C178" s="1038"/>
      <c r="D178" s="1038"/>
      <c r="E178" s="1038"/>
      <c r="F178" s="1038"/>
      <c r="G178" s="1038"/>
      <c r="H178" s="1035"/>
      <c r="I178" s="1038"/>
      <c r="J178" s="1038"/>
      <c r="K178" s="1038"/>
      <c r="L178" s="1035"/>
      <c r="M178" s="1038"/>
      <c r="N178" s="1038"/>
      <c r="O178" s="1038"/>
      <c r="P178" s="1035"/>
      <c r="Q178" s="1038"/>
      <c r="R178" s="1038"/>
      <c r="S178" s="1038"/>
    </row>
    <row r="179" spans="1:19">
      <c r="A179" s="1044"/>
      <c r="B179" s="1027"/>
      <c r="C179" s="1035"/>
      <c r="D179" s="1035"/>
      <c r="E179" s="1035"/>
      <c r="F179" s="1035"/>
      <c r="G179" s="1035"/>
      <c r="H179" s="1035"/>
      <c r="I179" s="1035"/>
      <c r="J179" s="1035"/>
      <c r="K179" s="1035"/>
      <c r="L179" s="1035"/>
      <c r="M179" s="1035"/>
      <c r="N179" s="1035"/>
      <c r="O179" s="1035"/>
      <c r="P179" s="1035"/>
      <c r="Q179" s="1035"/>
      <c r="R179" s="1035"/>
      <c r="S179" s="1035"/>
    </row>
    <row r="180" spans="1:19">
      <c r="A180" s="1044">
        <f>+A177+1</f>
        <v>11</v>
      </c>
      <c r="B180" s="1021" t="s">
        <v>677</v>
      </c>
      <c r="C180" s="1035">
        <f>SUM(M180:O180)</f>
        <v>0</v>
      </c>
      <c r="D180" s="1035">
        <f>SUM(Q180:S180)</f>
        <v>0</v>
      </c>
      <c r="E180" s="1035"/>
      <c r="F180" s="1035"/>
      <c r="G180" s="1035">
        <f>ROUND(SUM(C180:F180)/2,0)</f>
        <v>0</v>
      </c>
      <c r="H180" s="1035"/>
      <c r="I180" s="1035">
        <f>(M180+Q180)/2</f>
        <v>0</v>
      </c>
      <c r="J180" s="1035">
        <f>(N180+R180)/2</f>
        <v>0</v>
      </c>
      <c r="K180" s="1035">
        <f>(O180+S180)/2</f>
        <v>0</v>
      </c>
      <c r="L180" s="1035"/>
      <c r="M180" s="1023"/>
      <c r="N180" s="1023"/>
      <c r="O180" s="1023"/>
      <c r="P180" s="1035"/>
      <c r="Q180" s="1023"/>
      <c r="R180" s="1023"/>
      <c r="S180" s="1023"/>
    </row>
    <row r="181" spans="1:19">
      <c r="A181" s="1067">
        <f>A180+0.01</f>
        <v>11.01</v>
      </c>
      <c r="B181" s="1023"/>
      <c r="C181" s="1023"/>
      <c r="D181" s="1023"/>
      <c r="E181" s="1035">
        <f>-C181</f>
        <v>0</v>
      </c>
      <c r="F181" s="1035">
        <f>-D181</f>
        <v>0</v>
      </c>
      <c r="G181" s="1035">
        <f>ROUND(SUM(C181:F181)/2,0)</f>
        <v>0</v>
      </c>
      <c r="H181" s="1035"/>
      <c r="I181" s="1035"/>
      <c r="J181" s="1035"/>
      <c r="K181" s="1035"/>
      <c r="L181" s="1035"/>
      <c r="M181" s="1035"/>
      <c r="N181" s="1035"/>
      <c r="O181" s="1035"/>
      <c r="P181" s="1035"/>
      <c r="Q181" s="1035"/>
      <c r="R181" s="1035"/>
      <c r="S181" s="1035"/>
    </row>
    <row r="182" spans="1:19">
      <c r="A182" s="1044"/>
      <c r="B182" s="1027"/>
      <c r="C182" s="1035"/>
      <c r="D182" s="1035"/>
      <c r="E182" s="1035"/>
      <c r="F182" s="1035"/>
      <c r="G182" s="1035"/>
      <c r="H182" s="1035"/>
      <c r="I182" s="1035"/>
      <c r="J182" s="1035"/>
      <c r="K182" s="1035"/>
      <c r="L182" s="1035"/>
      <c r="M182" s="1035"/>
      <c r="N182" s="1035"/>
      <c r="O182" s="1035"/>
      <c r="P182" s="1035"/>
      <c r="Q182" s="1035"/>
      <c r="R182" s="1035"/>
      <c r="S182" s="1035"/>
    </row>
    <row r="183" spans="1:19" ht="13.5" thickBot="1">
      <c r="A183" s="1044">
        <f>+A180+1</f>
        <v>12</v>
      </c>
      <c r="B183" s="1024" t="s">
        <v>678</v>
      </c>
      <c r="C183" s="1037">
        <f>SUM(C177:C182)</f>
        <v>0</v>
      </c>
      <c r="D183" s="1037">
        <f>SUM(D177:D182)</f>
        <v>0</v>
      </c>
      <c r="E183" s="1037">
        <f>SUM(E177:E182)</f>
        <v>0</v>
      </c>
      <c r="F183" s="1037">
        <f>SUM(F177:F182)</f>
        <v>0</v>
      </c>
      <c r="G183" s="1037">
        <f>SUM(G177:G182)</f>
        <v>0</v>
      </c>
      <c r="H183" s="1035"/>
      <c r="I183" s="1037">
        <f>SUM(I177:I182)</f>
        <v>0</v>
      </c>
      <c r="J183" s="1037">
        <f>SUM(J177:J182)</f>
        <v>0</v>
      </c>
      <c r="K183" s="1037">
        <f>SUM(K177:K182)</f>
        <v>0</v>
      </c>
      <c r="L183" s="1035"/>
      <c r="M183" s="1041">
        <f>SUM(M177:M182)</f>
        <v>0</v>
      </c>
      <c r="N183" s="1041">
        <f>SUM(N177:N182)</f>
        <v>0</v>
      </c>
      <c r="O183" s="1041">
        <f>SUM(O177:O182)</f>
        <v>0</v>
      </c>
      <c r="P183" s="1035"/>
      <c r="Q183" s="1037">
        <f>SUM(Q177:Q182)</f>
        <v>0</v>
      </c>
      <c r="R183" s="1037">
        <f>SUM(R177:R182)</f>
        <v>0</v>
      </c>
      <c r="S183" s="1037">
        <f>SUM(S177:S182)</f>
        <v>0</v>
      </c>
    </row>
    <row r="184" spans="1:19" ht="13.5" thickTop="1">
      <c r="A184" s="1044">
        <f>A183+1</f>
        <v>13</v>
      </c>
      <c r="B184" s="1027" t="s">
        <v>679</v>
      </c>
      <c r="C184" s="1038">
        <f>C106+C139</f>
        <v>0</v>
      </c>
      <c r="D184" s="1038">
        <f>D106+D139</f>
        <v>0</v>
      </c>
      <c r="E184" s="1038">
        <f>E106+E139</f>
        <v>0</v>
      </c>
      <c r="F184" s="1038">
        <f>F106+F139</f>
        <v>0</v>
      </c>
      <c r="G184" s="1038">
        <f>G106+G139</f>
        <v>0</v>
      </c>
      <c r="H184" s="1035"/>
      <c r="I184" s="1038">
        <f>I106+I139</f>
        <v>0</v>
      </c>
      <c r="J184" s="1038">
        <f>J106+J139</f>
        <v>0</v>
      </c>
      <c r="K184" s="1038">
        <f>K106+K139</f>
        <v>0</v>
      </c>
      <c r="L184" s="1035"/>
      <c r="M184" s="1038">
        <f>M106+M139</f>
        <v>0</v>
      </c>
      <c r="N184" s="1038">
        <f>N106+N139</f>
        <v>0</v>
      </c>
      <c r="O184" s="1038">
        <f>O106+O139</f>
        <v>0</v>
      </c>
      <c r="P184" s="1035"/>
      <c r="Q184" s="1038">
        <f>Q106+Q139</f>
        <v>0</v>
      </c>
      <c r="R184" s="1038">
        <f>R106+R139</f>
        <v>0</v>
      </c>
      <c r="S184" s="1038">
        <f>S106+S139</f>
        <v>0</v>
      </c>
    </row>
    <row r="185" spans="1:19">
      <c r="A185" s="1044"/>
      <c r="B185" s="1027"/>
      <c r="C185" s="1040"/>
      <c r="D185" s="1040"/>
      <c r="E185" s="1035"/>
      <c r="F185" s="1035"/>
      <c r="G185" s="1035"/>
      <c r="H185" s="1035"/>
      <c r="I185" s="1035"/>
      <c r="J185" s="1035"/>
      <c r="K185" s="1035"/>
      <c r="L185" s="1035"/>
      <c r="M185" s="1035"/>
      <c r="N185" s="1035"/>
      <c r="O185" s="1035"/>
      <c r="P185" s="1035"/>
      <c r="Q185" s="1035"/>
      <c r="R185" s="1035"/>
      <c r="S185" s="1035"/>
    </row>
    <row r="186" spans="1:19">
      <c r="A186" s="1044">
        <f>+A184+1</f>
        <v>14</v>
      </c>
      <c r="B186" s="1024" t="s">
        <v>680</v>
      </c>
      <c r="C186" s="1035"/>
      <c r="D186" s="1035"/>
      <c r="E186" s="1035"/>
      <c r="F186" s="1035"/>
      <c r="G186" s="1035"/>
      <c r="H186" s="1035"/>
      <c r="I186" s="1035"/>
      <c r="J186" s="1035"/>
      <c r="K186" s="1035"/>
      <c r="L186" s="1035"/>
      <c r="M186" s="1035"/>
      <c r="N186" s="1035"/>
      <c r="O186" s="1035"/>
      <c r="P186" s="1035"/>
      <c r="Q186" s="1035"/>
      <c r="R186" s="1035"/>
      <c r="S186" s="1035"/>
    </row>
    <row r="187" spans="1:19">
      <c r="A187" s="1044"/>
      <c r="B187" s="1027"/>
      <c r="C187" s="1035"/>
      <c r="D187" s="1035"/>
      <c r="E187" s="1035"/>
      <c r="F187" s="1035"/>
      <c r="G187" s="1035"/>
      <c r="H187" s="1035"/>
      <c r="I187" s="1035"/>
      <c r="J187" s="1035"/>
      <c r="K187" s="1035"/>
      <c r="L187" s="1035"/>
      <c r="M187" s="1035"/>
      <c r="N187" s="1035"/>
      <c r="O187" s="1035"/>
      <c r="P187" s="1035"/>
      <c r="Q187" s="1035"/>
      <c r="R187" s="1035"/>
      <c r="S187" s="1035"/>
    </row>
    <row r="188" spans="1:19">
      <c r="A188" s="1044">
        <f>+A186+1</f>
        <v>15</v>
      </c>
      <c r="B188" s="1024" t="s">
        <v>681</v>
      </c>
      <c r="C188" s="1035"/>
      <c r="D188" s="1035"/>
      <c r="E188" s="1035"/>
      <c r="F188" s="1035"/>
      <c r="G188" s="1035"/>
      <c r="H188" s="1035"/>
      <c r="I188" s="1035"/>
      <c r="J188" s="1035"/>
      <c r="K188" s="1035"/>
      <c r="L188" s="1035"/>
      <c r="M188" s="1035"/>
      <c r="N188" s="1035"/>
      <c r="O188" s="1035"/>
      <c r="P188" s="1035"/>
      <c r="Q188" s="1035"/>
      <c r="R188" s="1035"/>
      <c r="S188" s="1035"/>
    </row>
    <row r="189" spans="1:19">
      <c r="A189" s="1044"/>
      <c r="B189" s="1027"/>
      <c r="C189" s="1035"/>
      <c r="D189" s="1042"/>
      <c r="E189" s="1042"/>
      <c r="F189" s="1042"/>
      <c r="G189" s="1042"/>
      <c r="H189" s="1042"/>
      <c r="I189" s="1042"/>
      <c r="J189" s="1042"/>
      <c r="K189" s="1042"/>
      <c r="L189" s="1042"/>
      <c r="M189" s="1035"/>
      <c r="N189" s="1035"/>
      <c r="O189" s="1035"/>
      <c r="P189" s="1035"/>
      <c r="Q189" s="1035"/>
      <c r="R189" s="1035"/>
      <c r="S189" s="1035"/>
    </row>
    <row r="190" spans="1:19">
      <c r="A190" s="1044">
        <f>+A188+1</f>
        <v>16</v>
      </c>
      <c r="B190" s="1024" t="s">
        <v>682</v>
      </c>
      <c r="C190" s="1035"/>
      <c r="D190" s="1042"/>
      <c r="E190" s="1042"/>
      <c r="F190" s="1042"/>
      <c r="G190" s="1042"/>
      <c r="H190" s="1042"/>
      <c r="I190" s="1042"/>
      <c r="J190" s="1042"/>
      <c r="K190" s="1042"/>
      <c r="L190" s="1042"/>
      <c r="M190" s="1035"/>
      <c r="N190" s="1035"/>
      <c r="O190" s="1035"/>
      <c r="P190" s="1035"/>
      <c r="Q190" s="1035"/>
      <c r="R190" s="1035"/>
      <c r="S190" s="1035"/>
    </row>
    <row r="191" spans="1:19">
      <c r="A191" s="1044"/>
      <c r="B191" s="1027"/>
      <c r="C191" s="1035"/>
      <c r="D191" s="1035"/>
      <c r="E191" s="1035"/>
      <c r="F191" s="1035"/>
      <c r="G191" s="1035"/>
      <c r="H191" s="1035"/>
      <c r="I191" s="1035"/>
      <c r="J191" s="1035"/>
      <c r="K191" s="1035"/>
      <c r="L191" s="1035"/>
      <c r="M191" s="1035"/>
      <c r="N191" s="1035"/>
      <c r="O191" s="1035"/>
      <c r="P191" s="1035"/>
      <c r="Q191" s="1035"/>
      <c r="R191" s="1035"/>
      <c r="S191" s="1035"/>
    </row>
    <row r="192" spans="1:19">
      <c r="A192" s="1044">
        <f>+A190+1</f>
        <v>17</v>
      </c>
      <c r="B192" s="1021" t="s">
        <v>683</v>
      </c>
      <c r="C192" s="1035"/>
      <c r="D192" s="1035"/>
      <c r="E192" s="1035"/>
      <c r="F192" s="1035"/>
      <c r="G192" s="1035"/>
      <c r="H192" s="1035"/>
      <c r="I192" s="1035"/>
      <c r="J192" s="1035"/>
      <c r="K192" s="1035"/>
      <c r="L192" s="1035"/>
      <c r="M192" s="1035"/>
      <c r="N192" s="1035"/>
      <c r="O192" s="1035"/>
      <c r="P192" s="1035"/>
      <c r="Q192" s="1035"/>
      <c r="R192" s="1035"/>
      <c r="S192" s="1035"/>
    </row>
    <row r="193" spans="1:19">
      <c r="A193" s="1044">
        <f>A192+1</f>
        <v>18</v>
      </c>
      <c r="B193" s="1021" t="s">
        <v>684</v>
      </c>
      <c r="C193" s="1035"/>
      <c r="D193" s="1035"/>
      <c r="E193" s="1035"/>
      <c r="F193" s="1035"/>
      <c r="G193" s="1035"/>
      <c r="H193" s="1035"/>
      <c r="I193" s="1035"/>
      <c r="J193" s="1035"/>
      <c r="K193" s="1035"/>
      <c r="L193" s="1035"/>
      <c r="M193" s="1035"/>
      <c r="N193" s="1035"/>
      <c r="O193" s="1035"/>
      <c r="P193" s="1035"/>
      <c r="Q193" s="1023"/>
      <c r="R193" s="1035"/>
      <c r="S193" s="1035"/>
    </row>
    <row r="194" spans="1:19">
      <c r="A194" s="1067">
        <f>A193+0.01</f>
        <v>18.010000000000002</v>
      </c>
      <c r="B194" s="1023"/>
      <c r="C194" s="1035">
        <f>SUM(M194:O194)</f>
        <v>0</v>
      </c>
      <c r="D194" s="1035">
        <f>SUM(Q194:S194)</f>
        <v>0</v>
      </c>
      <c r="E194" s="1035"/>
      <c r="F194" s="1035"/>
      <c r="G194" s="1035">
        <f>ROUND(SUM(C194:F194)/2,0)</f>
        <v>0</v>
      </c>
      <c r="H194" s="1035"/>
      <c r="I194" s="1035">
        <f t="shared" ref="I194:K195" si="24">(M194+Q194)/2</f>
        <v>0</v>
      </c>
      <c r="J194" s="1035">
        <f t="shared" si="24"/>
        <v>0</v>
      </c>
      <c r="K194" s="1035">
        <f t="shared" si="24"/>
        <v>0</v>
      </c>
      <c r="L194" s="1035"/>
      <c r="M194" s="1023"/>
      <c r="N194" s="1023"/>
      <c r="O194" s="1023"/>
      <c r="P194" s="1035"/>
      <c r="Q194" s="1023"/>
      <c r="R194" s="1023"/>
      <c r="S194" s="1023"/>
    </row>
    <row r="195" spans="1:19">
      <c r="A195" s="1067">
        <f>A194+0.01</f>
        <v>18.020000000000003</v>
      </c>
      <c r="B195" s="1023"/>
      <c r="C195" s="1035">
        <f>SUM(M195:O195)</f>
        <v>0</v>
      </c>
      <c r="D195" s="1035">
        <f>SUM(Q195:S195)</f>
        <v>0</v>
      </c>
      <c r="E195" s="1035"/>
      <c r="F195" s="1035"/>
      <c r="G195" s="1035">
        <f>ROUND(SUM(C195:F195)/2,0)</f>
        <v>0</v>
      </c>
      <c r="H195" s="1035"/>
      <c r="I195" s="1035">
        <f t="shared" si="24"/>
        <v>0</v>
      </c>
      <c r="J195" s="1035">
        <f t="shared" si="24"/>
        <v>0</v>
      </c>
      <c r="K195" s="1035">
        <f t="shared" si="24"/>
        <v>0</v>
      </c>
      <c r="L195" s="1035"/>
      <c r="M195" s="1023"/>
      <c r="N195" s="1023"/>
      <c r="O195" s="1023"/>
      <c r="P195" s="1035"/>
      <c r="Q195" s="1023"/>
      <c r="R195" s="1023"/>
      <c r="S195" s="1023"/>
    </row>
    <row r="196" spans="1:19">
      <c r="A196" s="1044">
        <f>INT(A195)+1</f>
        <v>19</v>
      </c>
      <c r="B196" s="1024"/>
      <c r="C196" s="1035"/>
      <c r="D196" s="1035"/>
      <c r="E196" s="1035"/>
      <c r="F196" s="1035"/>
      <c r="G196" s="1035"/>
      <c r="H196" s="1035"/>
      <c r="I196" s="1035"/>
      <c r="J196" s="1035"/>
      <c r="K196" s="1035"/>
      <c r="L196" s="1035"/>
      <c r="M196" s="1035"/>
      <c r="N196" s="1035"/>
      <c r="O196" s="1035"/>
      <c r="P196" s="1035"/>
      <c r="Q196" s="1035"/>
      <c r="R196" s="1035"/>
      <c r="S196" s="1035"/>
    </row>
    <row r="197" spans="1:19">
      <c r="A197" s="1044">
        <f>A196+1</f>
        <v>20</v>
      </c>
      <c r="B197" s="1021" t="s">
        <v>685</v>
      </c>
      <c r="C197" s="1037">
        <f>SUM(C194:C196)</f>
        <v>0</v>
      </c>
      <c r="D197" s="1037">
        <f>SUM(D194:D196)</f>
        <v>0</v>
      </c>
      <c r="E197" s="1037">
        <f>SUM(E194:E196)</f>
        <v>0</v>
      </c>
      <c r="F197" s="1037">
        <f>SUM(F194:F196)</f>
        <v>0</v>
      </c>
      <c r="G197" s="1037">
        <f>SUM(G194:G196)</f>
        <v>0</v>
      </c>
      <c r="H197" s="1035"/>
      <c r="I197" s="1037">
        <f>SUM(I194:I196)</f>
        <v>0</v>
      </c>
      <c r="J197" s="1037">
        <f>SUM(J194:J196)</f>
        <v>0</v>
      </c>
      <c r="K197" s="1037">
        <f>SUM(K194:K196)</f>
        <v>0</v>
      </c>
      <c r="L197" s="1035"/>
      <c r="M197" s="1037">
        <f>SUM(M194:M196)</f>
        <v>0</v>
      </c>
      <c r="N197" s="1037">
        <f>SUM(N194:N196)</f>
        <v>0</v>
      </c>
      <c r="O197" s="1037">
        <f>SUM(O194:O196)</f>
        <v>0</v>
      </c>
      <c r="P197" s="1035"/>
      <c r="Q197" s="1037">
        <f>SUM(Q194:Q196)</f>
        <v>0</v>
      </c>
      <c r="R197" s="1037">
        <f>SUM(R194:R196)</f>
        <v>0</v>
      </c>
      <c r="S197" s="1037">
        <f>SUM(S194:S196)</f>
        <v>0</v>
      </c>
    </row>
  </sheetData>
  <pageMargins left="0.7" right="0.7" top="0.75" bottom="0.75" header="0.3" footer="0.3"/>
  <pageSetup scale="31"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C104" sqref="C104"/>
    </sheetView>
  </sheetViews>
  <sheetFormatPr defaultRowHeight="12.75"/>
  <cols>
    <col min="1" max="1" width="6" style="1016" customWidth="1"/>
    <col min="2" max="2" width="54.5703125" style="1016" bestFit="1" customWidth="1"/>
    <col min="3" max="3" width="13.42578125" style="1016" bestFit="1" customWidth="1"/>
    <col min="4" max="4" width="12.85546875" style="1016" bestFit="1" customWidth="1"/>
    <col min="5" max="6" width="17" style="1016" customWidth="1"/>
    <col min="7" max="7" width="15.28515625" style="1016" bestFit="1" customWidth="1"/>
    <col min="8" max="8" width="9.140625" style="1016"/>
    <col min="9" max="9" width="13.140625" style="1016" bestFit="1" customWidth="1"/>
    <col min="10" max="10" width="15" style="1016" bestFit="1" customWidth="1"/>
    <col min="11" max="11" width="13.5703125" style="1016" bestFit="1" customWidth="1"/>
    <col min="12" max="12" width="9.140625" style="1016"/>
    <col min="13" max="13" width="13.140625" style="1016" bestFit="1" customWidth="1"/>
    <col min="14" max="14" width="15" style="1016" bestFit="1" customWidth="1"/>
    <col min="15" max="15" width="13.5703125" style="1016" bestFit="1" customWidth="1"/>
    <col min="16" max="16" width="9.140625" style="1016"/>
    <col min="17" max="17" width="13.140625" style="1016" bestFit="1" customWidth="1"/>
    <col min="18" max="18" width="15" style="1016" bestFit="1" customWidth="1"/>
    <col min="19" max="19" width="13.5703125" style="1016" bestFit="1" customWidth="1"/>
    <col min="20" max="16384" width="9.140625" style="1016"/>
  </cols>
  <sheetData>
    <row r="1" spans="1:19">
      <c r="A1" s="1045"/>
      <c r="B1" s="1066" t="str">
        <f>TCOS!F9</f>
        <v>AEP Appalachian Transmission Company</v>
      </c>
      <c r="C1" s="1046"/>
      <c r="D1" s="1046"/>
      <c r="E1" s="1046"/>
      <c r="F1" s="1027"/>
      <c r="G1" s="1021"/>
      <c r="H1" s="1021"/>
      <c r="I1" s="1021"/>
      <c r="J1" s="1021"/>
      <c r="K1" s="1021"/>
      <c r="L1" s="1021"/>
      <c r="M1" s="1027"/>
      <c r="N1" s="1027"/>
      <c r="O1" s="1021"/>
      <c r="P1" s="1027"/>
      <c r="Q1" s="1027"/>
      <c r="R1" s="1027"/>
      <c r="S1" s="1021"/>
    </row>
    <row r="2" spans="1:19">
      <c r="A2" s="1045"/>
      <c r="B2" s="1026" t="s">
        <v>686</v>
      </c>
      <c r="C2" s="1046"/>
      <c r="D2" s="1046"/>
      <c r="E2" s="1046"/>
      <c r="F2" s="1046"/>
      <c r="G2" s="1020"/>
      <c r="H2" s="1020"/>
      <c r="I2" s="1020"/>
      <c r="J2" s="1020"/>
      <c r="K2" s="1020"/>
      <c r="L2" s="1020"/>
      <c r="M2" s="1027"/>
      <c r="N2" s="1027"/>
      <c r="O2" s="1020"/>
      <c r="P2" s="1027"/>
      <c r="Q2" s="1027"/>
      <c r="R2" s="1027"/>
      <c r="S2" s="1020"/>
    </row>
    <row r="3" spans="1:19">
      <c r="A3" s="1045"/>
      <c r="B3" s="1026" t="str">
        <f>"PERIOD ENDED DECEMBER 31, "&amp;TCOS!L4</f>
        <v>PERIOD ENDED DECEMBER 31, 2025</v>
      </c>
      <c r="C3" s="1046"/>
      <c r="D3" s="1046"/>
      <c r="E3" s="1046"/>
      <c r="F3" s="1046"/>
      <c r="G3" s="1046"/>
      <c r="H3" s="1046"/>
      <c r="I3" s="1046"/>
      <c r="J3" s="1046"/>
      <c r="K3" s="1046"/>
      <c r="L3" s="1046"/>
      <c r="M3" s="1027"/>
      <c r="N3" s="1027"/>
      <c r="O3" s="1027"/>
      <c r="P3" s="1027"/>
      <c r="Q3" s="1027"/>
      <c r="R3" s="1027"/>
      <c r="S3" s="1027"/>
    </row>
    <row r="4" spans="1:19">
      <c r="A4" s="1045"/>
      <c r="B4" s="1034"/>
      <c r="C4" s="1046"/>
      <c r="D4" s="1046"/>
      <c r="E4" s="1046"/>
      <c r="F4" s="1046"/>
      <c r="G4" s="1017" t="s">
        <v>687</v>
      </c>
      <c r="H4" s="1046"/>
      <c r="I4" s="1046"/>
      <c r="J4" s="1046"/>
      <c r="K4" s="1046"/>
      <c r="L4" s="1046"/>
      <c r="M4" s="1027"/>
      <c r="N4" s="1027"/>
      <c r="O4" s="1027"/>
      <c r="P4" s="1027"/>
      <c r="Q4" s="1027"/>
      <c r="R4" s="1027"/>
      <c r="S4" s="1027"/>
    </row>
    <row r="5" spans="1:19">
      <c r="A5" s="1045"/>
      <c r="B5" s="1028"/>
      <c r="C5" s="1046"/>
      <c r="D5" s="1046"/>
      <c r="E5" s="1046"/>
      <c r="F5" s="1046"/>
      <c r="G5" s="1046"/>
      <c r="H5" s="1046"/>
      <c r="I5" s="1046"/>
      <c r="J5" s="1046"/>
      <c r="K5" s="1046"/>
      <c r="L5" s="1046"/>
      <c r="M5" s="1027"/>
      <c r="N5" s="1027"/>
      <c r="O5" s="1027"/>
      <c r="P5" s="1027"/>
      <c r="Q5" s="1027"/>
      <c r="R5" s="1027"/>
      <c r="S5" s="1027"/>
    </row>
    <row r="6" spans="1:19">
      <c r="A6" s="1045"/>
      <c r="B6" s="1027"/>
      <c r="C6" s="1046"/>
      <c r="D6" s="1046"/>
      <c r="E6" s="1046"/>
      <c r="F6" s="1046"/>
      <c r="G6" s="1046"/>
      <c r="H6" s="1017"/>
      <c r="I6" s="1017"/>
      <c r="J6" s="1017"/>
      <c r="K6" s="1017"/>
      <c r="L6" s="1017"/>
      <c r="M6" s="1027"/>
      <c r="N6" s="1027"/>
      <c r="O6" s="1027"/>
      <c r="P6" s="1027"/>
      <c r="Q6" s="1027"/>
      <c r="R6" s="1027"/>
      <c r="S6" s="1027"/>
    </row>
    <row r="7" spans="1:19">
      <c r="A7" s="1045"/>
      <c r="B7" s="1027"/>
      <c r="C7" s="1046"/>
      <c r="D7" s="1046"/>
      <c r="E7" s="1046"/>
      <c r="F7" s="1046"/>
      <c r="G7" s="1046"/>
      <c r="H7" s="1046"/>
      <c r="I7" s="1046"/>
      <c r="J7" s="1046"/>
      <c r="K7" s="1046"/>
      <c r="L7" s="1046"/>
      <c r="M7" s="1027"/>
      <c r="N7" s="1027"/>
      <c r="O7" s="1027"/>
      <c r="P7" s="1027"/>
      <c r="Q7" s="1027"/>
      <c r="R7" s="1027"/>
      <c r="S7" s="1027"/>
    </row>
    <row r="8" spans="1:19">
      <c r="A8" s="1045"/>
      <c r="B8" s="1029" t="s">
        <v>643</v>
      </c>
      <c r="C8" s="1047" t="s">
        <v>644</v>
      </c>
      <c r="D8" s="1047" t="s">
        <v>645</v>
      </c>
      <c r="E8" s="1047" t="s">
        <v>646</v>
      </c>
      <c r="F8" s="1047" t="s">
        <v>647</v>
      </c>
      <c r="G8" s="1047" t="s">
        <v>648</v>
      </c>
      <c r="H8" s="1047"/>
      <c r="I8" s="1047" t="s">
        <v>649</v>
      </c>
      <c r="J8" s="1047" t="s">
        <v>650</v>
      </c>
      <c r="K8" s="1047" t="s">
        <v>651</v>
      </c>
      <c r="L8" s="1047"/>
      <c r="M8" s="1029" t="s">
        <v>652</v>
      </c>
      <c r="N8" s="1029" t="s">
        <v>653</v>
      </c>
      <c r="O8" s="1029" t="s">
        <v>654</v>
      </c>
      <c r="P8" s="1027"/>
      <c r="Q8" s="1029" t="s">
        <v>655</v>
      </c>
      <c r="R8" s="1029" t="s">
        <v>656</v>
      </c>
      <c r="S8" s="1029" t="s">
        <v>657</v>
      </c>
    </row>
    <row r="9" spans="1:19">
      <c r="A9" s="1045"/>
      <c r="B9" s="1027"/>
      <c r="C9" s="1046"/>
      <c r="D9" s="1046"/>
      <c r="E9" s="1046"/>
      <c r="F9" s="1046"/>
      <c r="G9" s="1046"/>
      <c r="H9" s="1046"/>
      <c r="I9" s="1046"/>
      <c r="J9" s="1046"/>
      <c r="K9" s="1046"/>
      <c r="L9" s="1046"/>
      <c r="M9" s="1027"/>
      <c r="N9" s="1027"/>
      <c r="O9" s="1027"/>
      <c r="P9" s="1027"/>
      <c r="Q9" s="1027"/>
      <c r="R9" s="1027"/>
      <c r="S9" s="1027"/>
    </row>
    <row r="10" spans="1:19">
      <c r="A10" s="1045"/>
      <c r="B10" s="1027"/>
      <c r="C10" s="1048" t="s">
        <v>658</v>
      </c>
      <c r="D10" s="1048"/>
      <c r="E10" s="1049" t="s">
        <v>659</v>
      </c>
      <c r="F10" s="1048"/>
      <c r="G10" s="1019" t="s">
        <v>660</v>
      </c>
      <c r="H10" s="1019"/>
      <c r="I10" s="1050" t="s">
        <v>661</v>
      </c>
      <c r="J10" s="1048"/>
      <c r="K10" s="1048"/>
      <c r="L10" s="1019"/>
      <c r="M10" s="1030" t="str">
        <f>"FUNCTIONALIZATION 12/31/"&amp;TCOS!L4-1</f>
        <v>FUNCTIONALIZATION 12/31/2024</v>
      </c>
      <c r="N10" s="1030"/>
      <c r="O10" s="1030"/>
      <c r="P10" s="1027"/>
      <c r="Q10" s="1030" t="str">
        <f>"FUNCTIONALIZATION 12/31/"&amp;TCOS!L4</f>
        <v>FUNCTIONALIZATION 12/31/2025</v>
      </c>
      <c r="R10" s="1030"/>
      <c r="S10" s="1030"/>
    </row>
    <row r="11" spans="1:19">
      <c r="A11" s="1045"/>
      <c r="B11" s="1027"/>
      <c r="C11" s="1051"/>
      <c r="D11" s="1051"/>
      <c r="E11" s="1046"/>
      <c r="F11" s="1046"/>
      <c r="G11" s="1019" t="s">
        <v>662</v>
      </c>
      <c r="H11" s="1019"/>
      <c r="I11" s="1051"/>
      <c r="J11" s="1051"/>
      <c r="K11" s="1051"/>
      <c r="L11" s="1019"/>
      <c r="M11" s="1033"/>
      <c r="N11" s="1033"/>
      <c r="O11" s="1033"/>
      <c r="P11" s="1027"/>
      <c r="Q11" s="1033"/>
      <c r="R11" s="1033"/>
      <c r="S11" s="1033"/>
    </row>
    <row r="12" spans="1:19">
      <c r="A12" s="1045"/>
      <c r="B12" s="1027"/>
      <c r="C12" s="1019" t="s">
        <v>663</v>
      </c>
      <c r="D12" s="1019" t="s">
        <v>663</v>
      </c>
      <c r="E12" s="1019" t="s">
        <v>663</v>
      </c>
      <c r="F12" s="1019" t="s">
        <v>663</v>
      </c>
      <c r="G12" s="1019" t="s">
        <v>664</v>
      </c>
      <c r="H12" s="1019"/>
      <c r="I12" s="1046"/>
      <c r="J12" s="1046"/>
      <c r="K12" s="1046"/>
      <c r="L12" s="1019"/>
      <c r="M12" s="1027"/>
      <c r="N12" s="1027"/>
      <c r="O12" s="1027"/>
      <c r="P12" s="1027"/>
      <c r="Q12" s="1027"/>
      <c r="R12" s="1027"/>
      <c r="S12" s="1027"/>
    </row>
    <row r="13" spans="1:19">
      <c r="A13" s="1045"/>
      <c r="B13" s="1029" t="s">
        <v>665</v>
      </c>
      <c r="C13" s="1047" t="str">
        <f>"OF 12-31-"&amp;TCOS!L4-1</f>
        <v>OF 12-31-2024</v>
      </c>
      <c r="D13" s="1047" t="str">
        <f>"OF 12-31-"&amp;TCOS!L4</f>
        <v>OF 12-31-2025</v>
      </c>
      <c r="E13" s="1047" t="str">
        <f>"OF 12-31-"&amp;TCOS!L4-1</f>
        <v>OF 12-31-2024</v>
      </c>
      <c r="F13" s="1047" t="str">
        <f>"OF 12-31-"&amp;TCOS!L4</f>
        <v>OF 12-31-2025</v>
      </c>
      <c r="G13" s="1047" t="s">
        <v>666</v>
      </c>
      <c r="H13" s="1047"/>
      <c r="I13" s="1047" t="s">
        <v>667</v>
      </c>
      <c r="J13" s="1047" t="s">
        <v>668</v>
      </c>
      <c r="K13" s="1047" t="s">
        <v>669</v>
      </c>
      <c r="L13" s="1047"/>
      <c r="M13" s="1029" t="s">
        <v>667</v>
      </c>
      <c r="N13" s="1029" t="s">
        <v>668</v>
      </c>
      <c r="O13" s="1029" t="s">
        <v>669</v>
      </c>
      <c r="P13" s="1027"/>
      <c r="Q13" s="1029" t="s">
        <v>667</v>
      </c>
      <c r="R13" s="1029" t="s">
        <v>668</v>
      </c>
      <c r="S13" s="1029" t="s">
        <v>669</v>
      </c>
    </row>
    <row r="14" spans="1:19">
      <c r="A14" s="1045"/>
      <c r="B14" s="1027"/>
      <c r="C14" s="1046"/>
      <c r="D14" s="1046"/>
      <c r="E14" s="1046"/>
      <c r="F14" s="1046"/>
      <c r="G14" s="1046"/>
      <c r="H14" s="1046"/>
      <c r="I14" s="1046"/>
      <c r="J14" s="1046"/>
      <c r="K14" s="1046"/>
      <c r="L14" s="1046"/>
      <c r="M14" s="1027"/>
      <c r="N14" s="1027"/>
      <c r="O14" s="1027"/>
      <c r="P14" s="1027"/>
      <c r="Q14" s="1027"/>
      <c r="R14" s="1027"/>
      <c r="S14" s="1027"/>
    </row>
    <row r="15" spans="1:19">
      <c r="A15" s="1052">
        <v>1</v>
      </c>
      <c r="B15" s="1040" t="s">
        <v>688</v>
      </c>
      <c r="C15" s="1035"/>
      <c r="D15" s="1035"/>
      <c r="E15" s="1035"/>
      <c r="F15" s="1036"/>
      <c r="G15" s="1035"/>
      <c r="H15" s="1035"/>
      <c r="I15" s="1035"/>
      <c r="J15" s="1035"/>
      <c r="K15" s="1035"/>
      <c r="L15" s="1035"/>
      <c r="M15" s="1035"/>
      <c r="N15" s="1035"/>
      <c r="O15" s="1035"/>
      <c r="P15" s="1035"/>
      <c r="Q15" s="1035"/>
      <c r="R15" s="1035"/>
      <c r="S15" s="1035"/>
    </row>
    <row r="16" spans="1:19">
      <c r="A16" s="1052"/>
      <c r="B16" s="1035"/>
      <c r="C16" s="1035"/>
      <c r="D16" s="1035"/>
      <c r="E16" s="1035"/>
      <c r="F16" s="1035"/>
      <c r="G16" s="1035"/>
      <c r="H16" s="1035"/>
      <c r="I16" s="1035"/>
      <c r="J16" s="1035"/>
      <c r="K16" s="1035"/>
      <c r="L16" s="1035"/>
      <c r="M16" s="1035"/>
      <c r="N16" s="1035"/>
      <c r="O16" s="1035"/>
      <c r="P16" s="1035"/>
      <c r="Q16" s="1035"/>
      <c r="R16" s="1035"/>
      <c r="S16" s="1035"/>
    </row>
    <row r="17" spans="1:19">
      <c r="A17" s="1058">
        <v>2.0099999999999998</v>
      </c>
      <c r="B17" s="1023"/>
      <c r="C17" s="1035">
        <f t="shared" ref="C17:C80" si="0">SUM(M17:O17)</f>
        <v>0</v>
      </c>
      <c r="D17" s="1035">
        <f t="shared" ref="D17:D80" si="1">SUM(Q17:S17)</f>
        <v>0</v>
      </c>
      <c r="E17" s="1035"/>
      <c r="F17" s="1035"/>
      <c r="G17" s="1035">
        <f t="shared" ref="G17:G80" si="2">ROUND(SUM(C17:F17)/2,0)</f>
        <v>0</v>
      </c>
      <c r="H17" s="1035"/>
      <c r="I17" s="1035">
        <f t="shared" ref="I17:K48" si="3">(M17+Q17)/2</f>
        <v>0</v>
      </c>
      <c r="J17" s="1035">
        <f t="shared" si="3"/>
        <v>0</v>
      </c>
      <c r="K17" s="1035">
        <f t="shared" si="3"/>
        <v>0</v>
      </c>
      <c r="L17" s="1035"/>
      <c r="M17" s="1023"/>
      <c r="N17" s="1023"/>
      <c r="O17" s="1023"/>
      <c r="P17" s="1035"/>
      <c r="Q17" s="1023"/>
      <c r="R17" s="1023"/>
      <c r="S17" s="1023"/>
    </row>
    <row r="18" spans="1:19">
      <c r="A18" s="1058">
        <f>A17+0.01</f>
        <v>2.0199999999999996</v>
      </c>
      <c r="B18" s="1023"/>
      <c r="C18" s="1035">
        <f t="shared" si="0"/>
        <v>0</v>
      </c>
      <c r="D18" s="1035">
        <f t="shared" si="1"/>
        <v>0</v>
      </c>
      <c r="E18" s="1035"/>
      <c r="F18" s="1035"/>
      <c r="G18" s="1035">
        <f t="shared" si="2"/>
        <v>0</v>
      </c>
      <c r="H18" s="1035"/>
      <c r="I18" s="1035">
        <f t="shared" si="3"/>
        <v>0</v>
      </c>
      <c r="J18" s="1035">
        <f t="shared" si="3"/>
        <v>0</v>
      </c>
      <c r="K18" s="1035">
        <f t="shared" si="3"/>
        <v>0</v>
      </c>
      <c r="L18" s="1035"/>
      <c r="M18" s="1023"/>
      <c r="N18" s="1023"/>
      <c r="O18" s="1023"/>
      <c r="P18" s="1035"/>
      <c r="Q18" s="1023"/>
      <c r="R18" s="1023"/>
      <c r="S18" s="1023"/>
    </row>
    <row r="19" spans="1:19">
      <c r="A19" s="1058">
        <f t="shared" ref="A19:A82" si="4">A18+0.01</f>
        <v>2.0299999999999994</v>
      </c>
      <c r="B19" s="1023"/>
      <c r="C19" s="1035">
        <f t="shared" si="0"/>
        <v>0</v>
      </c>
      <c r="D19" s="1035">
        <f t="shared" si="1"/>
        <v>0</v>
      </c>
      <c r="E19" s="1035"/>
      <c r="F19" s="1035"/>
      <c r="G19" s="1035">
        <f t="shared" si="2"/>
        <v>0</v>
      </c>
      <c r="H19" s="1035"/>
      <c r="I19" s="1035">
        <f t="shared" si="3"/>
        <v>0</v>
      </c>
      <c r="J19" s="1035">
        <f t="shared" si="3"/>
        <v>0</v>
      </c>
      <c r="K19" s="1035">
        <f t="shared" si="3"/>
        <v>0</v>
      </c>
      <c r="L19" s="1035"/>
      <c r="M19" s="1023"/>
      <c r="N19" s="1023"/>
      <c r="O19" s="1023"/>
      <c r="P19" s="1035"/>
      <c r="Q19" s="1023"/>
      <c r="R19" s="1023"/>
      <c r="S19" s="1023"/>
    </row>
    <row r="20" spans="1:19">
      <c r="A20" s="1058">
        <f t="shared" si="4"/>
        <v>2.0399999999999991</v>
      </c>
      <c r="B20" s="1023"/>
      <c r="C20" s="1035">
        <f t="shared" si="0"/>
        <v>0</v>
      </c>
      <c r="D20" s="1035">
        <f t="shared" si="1"/>
        <v>0</v>
      </c>
      <c r="E20" s="1035"/>
      <c r="F20" s="1035"/>
      <c r="G20" s="1035">
        <f t="shared" si="2"/>
        <v>0</v>
      </c>
      <c r="H20" s="1035"/>
      <c r="I20" s="1035">
        <f t="shared" si="3"/>
        <v>0</v>
      </c>
      <c r="J20" s="1035">
        <f t="shared" si="3"/>
        <v>0</v>
      </c>
      <c r="K20" s="1035">
        <f t="shared" si="3"/>
        <v>0</v>
      </c>
      <c r="L20" s="1035"/>
      <c r="M20" s="1023"/>
      <c r="N20" s="1023"/>
      <c r="O20" s="1023"/>
      <c r="P20" s="1035"/>
      <c r="Q20" s="1023"/>
      <c r="R20" s="1023"/>
      <c r="S20" s="1023"/>
    </row>
    <row r="21" spans="1:19">
      <c r="A21" s="1058">
        <f t="shared" si="4"/>
        <v>2.0499999999999989</v>
      </c>
      <c r="B21" s="1023"/>
      <c r="C21" s="1035">
        <f t="shared" si="0"/>
        <v>0</v>
      </c>
      <c r="D21" s="1035">
        <f t="shared" si="1"/>
        <v>0</v>
      </c>
      <c r="E21" s="1035"/>
      <c r="F21" s="1035"/>
      <c r="G21" s="1035">
        <f t="shared" si="2"/>
        <v>0</v>
      </c>
      <c r="H21" s="1035"/>
      <c r="I21" s="1035">
        <f t="shared" si="3"/>
        <v>0</v>
      </c>
      <c r="J21" s="1035">
        <f t="shared" si="3"/>
        <v>0</v>
      </c>
      <c r="K21" s="1035">
        <f t="shared" si="3"/>
        <v>0</v>
      </c>
      <c r="L21" s="1035"/>
      <c r="M21" s="1023"/>
      <c r="N21" s="1023"/>
      <c r="O21" s="1023"/>
      <c r="P21" s="1035"/>
      <c r="Q21" s="1023"/>
      <c r="R21" s="1023"/>
      <c r="S21" s="1023"/>
    </row>
    <row r="22" spans="1:19" hidden="1">
      <c r="A22" s="1058">
        <f t="shared" si="4"/>
        <v>2.0599999999999987</v>
      </c>
      <c r="B22" s="1023"/>
      <c r="C22" s="1035">
        <f t="shared" si="0"/>
        <v>0</v>
      </c>
      <c r="D22" s="1035">
        <f t="shared" si="1"/>
        <v>0</v>
      </c>
      <c r="E22" s="1035"/>
      <c r="F22" s="1035"/>
      <c r="G22" s="1035">
        <f t="shared" si="2"/>
        <v>0</v>
      </c>
      <c r="H22" s="1035"/>
      <c r="I22" s="1035">
        <f t="shared" si="3"/>
        <v>0</v>
      </c>
      <c r="J22" s="1035">
        <f t="shared" si="3"/>
        <v>0</v>
      </c>
      <c r="K22" s="1035">
        <f t="shared" si="3"/>
        <v>0</v>
      </c>
      <c r="L22" s="1035"/>
      <c r="M22" s="1023"/>
      <c r="N22" s="1023"/>
      <c r="O22" s="1023"/>
      <c r="P22" s="1035"/>
      <c r="Q22" s="1023"/>
      <c r="R22" s="1023"/>
      <c r="S22" s="1023"/>
    </row>
    <row r="23" spans="1:19" hidden="1">
      <c r="A23" s="1058">
        <f t="shared" si="4"/>
        <v>2.0699999999999985</v>
      </c>
      <c r="B23" s="1023"/>
      <c r="C23" s="1035">
        <f t="shared" si="0"/>
        <v>0</v>
      </c>
      <c r="D23" s="1035">
        <f t="shared" si="1"/>
        <v>0</v>
      </c>
      <c r="E23" s="1035"/>
      <c r="F23" s="1035"/>
      <c r="G23" s="1035">
        <f t="shared" si="2"/>
        <v>0</v>
      </c>
      <c r="H23" s="1035"/>
      <c r="I23" s="1035">
        <f t="shared" si="3"/>
        <v>0</v>
      </c>
      <c r="J23" s="1035">
        <f t="shared" si="3"/>
        <v>0</v>
      </c>
      <c r="K23" s="1035">
        <f t="shared" si="3"/>
        <v>0</v>
      </c>
      <c r="L23" s="1035"/>
      <c r="M23" s="1023"/>
      <c r="N23" s="1023"/>
      <c r="O23" s="1023"/>
      <c r="P23" s="1035"/>
      <c r="Q23" s="1023"/>
      <c r="R23" s="1023"/>
      <c r="S23" s="1023"/>
    </row>
    <row r="24" spans="1:19" hidden="1">
      <c r="A24" s="1058">
        <f t="shared" si="4"/>
        <v>2.0799999999999983</v>
      </c>
      <c r="B24" s="1023"/>
      <c r="C24" s="1035">
        <f t="shared" si="0"/>
        <v>0</v>
      </c>
      <c r="D24" s="1035">
        <f t="shared" si="1"/>
        <v>0</v>
      </c>
      <c r="E24" s="1035"/>
      <c r="F24" s="1035"/>
      <c r="G24" s="1035">
        <f t="shared" si="2"/>
        <v>0</v>
      </c>
      <c r="H24" s="1035"/>
      <c r="I24" s="1035">
        <f t="shared" si="3"/>
        <v>0</v>
      </c>
      <c r="J24" s="1035">
        <f t="shared" si="3"/>
        <v>0</v>
      </c>
      <c r="K24" s="1035">
        <f t="shared" si="3"/>
        <v>0</v>
      </c>
      <c r="L24" s="1035"/>
      <c r="M24" s="1023"/>
      <c r="N24" s="1023"/>
      <c r="O24" s="1023"/>
      <c r="P24" s="1035"/>
      <c r="Q24" s="1023"/>
      <c r="R24" s="1023"/>
      <c r="S24" s="1023"/>
    </row>
    <row r="25" spans="1:19" hidden="1">
      <c r="A25" s="1058">
        <f t="shared" si="4"/>
        <v>2.0899999999999981</v>
      </c>
      <c r="B25" s="1023"/>
      <c r="C25" s="1035">
        <f t="shared" si="0"/>
        <v>0</v>
      </c>
      <c r="D25" s="1035">
        <f t="shared" si="1"/>
        <v>0</v>
      </c>
      <c r="E25" s="1035"/>
      <c r="F25" s="1035"/>
      <c r="G25" s="1035">
        <f t="shared" si="2"/>
        <v>0</v>
      </c>
      <c r="H25" s="1035"/>
      <c r="I25" s="1035">
        <f t="shared" si="3"/>
        <v>0</v>
      </c>
      <c r="J25" s="1035">
        <f t="shared" si="3"/>
        <v>0</v>
      </c>
      <c r="K25" s="1035">
        <f t="shared" si="3"/>
        <v>0</v>
      </c>
      <c r="L25" s="1035"/>
      <c r="M25" s="1023"/>
      <c r="N25" s="1023"/>
      <c r="O25" s="1023"/>
      <c r="P25" s="1035"/>
      <c r="Q25" s="1023"/>
      <c r="R25" s="1023"/>
      <c r="S25" s="1023"/>
    </row>
    <row r="26" spans="1:19" hidden="1">
      <c r="A26" s="1058">
        <f t="shared" si="4"/>
        <v>2.0999999999999979</v>
      </c>
      <c r="B26" s="1023"/>
      <c r="C26" s="1035">
        <f t="shared" si="0"/>
        <v>0</v>
      </c>
      <c r="D26" s="1035">
        <f t="shared" si="1"/>
        <v>0</v>
      </c>
      <c r="E26" s="1035"/>
      <c r="F26" s="1035"/>
      <c r="G26" s="1035">
        <f t="shared" si="2"/>
        <v>0</v>
      </c>
      <c r="H26" s="1035"/>
      <c r="I26" s="1035">
        <f t="shared" si="3"/>
        <v>0</v>
      </c>
      <c r="J26" s="1035">
        <f t="shared" si="3"/>
        <v>0</v>
      </c>
      <c r="K26" s="1035">
        <f t="shared" si="3"/>
        <v>0</v>
      </c>
      <c r="L26" s="1035"/>
      <c r="M26" s="1023"/>
      <c r="N26" s="1023"/>
      <c r="O26" s="1023"/>
      <c r="P26" s="1035"/>
      <c r="Q26" s="1023"/>
      <c r="R26" s="1023"/>
      <c r="S26" s="1023"/>
    </row>
    <row r="27" spans="1:19" hidden="1">
      <c r="A27" s="1058">
        <f t="shared" si="4"/>
        <v>2.1099999999999977</v>
      </c>
      <c r="B27" s="1023"/>
      <c r="C27" s="1035">
        <f t="shared" si="0"/>
        <v>0</v>
      </c>
      <c r="D27" s="1035">
        <f t="shared" si="1"/>
        <v>0</v>
      </c>
      <c r="E27" s="1035"/>
      <c r="F27" s="1035"/>
      <c r="G27" s="1035">
        <f t="shared" si="2"/>
        <v>0</v>
      </c>
      <c r="H27" s="1035"/>
      <c r="I27" s="1035">
        <f t="shared" si="3"/>
        <v>0</v>
      </c>
      <c r="J27" s="1035">
        <f t="shared" si="3"/>
        <v>0</v>
      </c>
      <c r="K27" s="1035">
        <f t="shared" si="3"/>
        <v>0</v>
      </c>
      <c r="L27" s="1035"/>
      <c r="M27" s="1023"/>
      <c r="N27" s="1023"/>
      <c r="O27" s="1023"/>
      <c r="P27" s="1035"/>
      <c r="Q27" s="1023"/>
      <c r="R27" s="1023"/>
      <c r="S27" s="1023"/>
    </row>
    <row r="28" spans="1:19" hidden="1">
      <c r="A28" s="1058">
        <f t="shared" si="4"/>
        <v>2.1199999999999974</v>
      </c>
      <c r="B28" s="1023"/>
      <c r="C28" s="1035">
        <f t="shared" si="0"/>
        <v>0</v>
      </c>
      <c r="D28" s="1035">
        <f t="shared" si="1"/>
        <v>0</v>
      </c>
      <c r="E28" s="1035"/>
      <c r="F28" s="1035"/>
      <c r="G28" s="1035">
        <f t="shared" si="2"/>
        <v>0</v>
      </c>
      <c r="H28" s="1035"/>
      <c r="I28" s="1035">
        <f t="shared" si="3"/>
        <v>0</v>
      </c>
      <c r="J28" s="1035">
        <f t="shared" si="3"/>
        <v>0</v>
      </c>
      <c r="K28" s="1035">
        <f t="shared" si="3"/>
        <v>0</v>
      </c>
      <c r="L28" s="1035"/>
      <c r="M28" s="1023"/>
      <c r="N28" s="1023"/>
      <c r="O28" s="1023"/>
      <c r="P28" s="1035"/>
      <c r="Q28" s="1023"/>
      <c r="R28" s="1023"/>
      <c r="S28" s="1023"/>
    </row>
    <row r="29" spans="1:19" hidden="1">
      <c r="A29" s="1058">
        <f t="shared" si="4"/>
        <v>2.1299999999999972</v>
      </c>
      <c r="B29" s="1023"/>
      <c r="C29" s="1035">
        <f t="shared" si="0"/>
        <v>0</v>
      </c>
      <c r="D29" s="1035">
        <f t="shared" si="1"/>
        <v>0</v>
      </c>
      <c r="E29" s="1035"/>
      <c r="F29" s="1035"/>
      <c r="G29" s="1035">
        <f t="shared" si="2"/>
        <v>0</v>
      </c>
      <c r="H29" s="1035"/>
      <c r="I29" s="1035">
        <f t="shared" si="3"/>
        <v>0</v>
      </c>
      <c r="J29" s="1035">
        <f t="shared" si="3"/>
        <v>0</v>
      </c>
      <c r="K29" s="1035">
        <f t="shared" si="3"/>
        <v>0</v>
      </c>
      <c r="L29" s="1035"/>
      <c r="M29" s="1023"/>
      <c r="N29" s="1023"/>
      <c r="O29" s="1023"/>
      <c r="P29" s="1035"/>
      <c r="Q29" s="1023"/>
      <c r="R29" s="1023"/>
      <c r="S29" s="1023"/>
    </row>
    <row r="30" spans="1:19" hidden="1">
      <c r="A30" s="1058">
        <f t="shared" si="4"/>
        <v>2.139999999999997</v>
      </c>
      <c r="B30" s="1023"/>
      <c r="C30" s="1035">
        <f t="shared" si="0"/>
        <v>0</v>
      </c>
      <c r="D30" s="1035">
        <f t="shared" si="1"/>
        <v>0</v>
      </c>
      <c r="E30" s="1035"/>
      <c r="F30" s="1035"/>
      <c r="G30" s="1035">
        <f t="shared" si="2"/>
        <v>0</v>
      </c>
      <c r="H30" s="1035"/>
      <c r="I30" s="1035">
        <f t="shared" si="3"/>
        <v>0</v>
      </c>
      <c r="J30" s="1035">
        <f t="shared" si="3"/>
        <v>0</v>
      </c>
      <c r="K30" s="1035">
        <f t="shared" si="3"/>
        <v>0</v>
      </c>
      <c r="L30" s="1035"/>
      <c r="M30" s="1023"/>
      <c r="N30" s="1023"/>
      <c r="O30" s="1023"/>
      <c r="P30" s="1035"/>
      <c r="Q30" s="1023"/>
      <c r="R30" s="1023"/>
      <c r="S30" s="1023"/>
    </row>
    <row r="31" spans="1:19" hidden="1">
      <c r="A31" s="1058">
        <f t="shared" si="4"/>
        <v>2.1499999999999968</v>
      </c>
      <c r="B31" s="1023"/>
      <c r="C31" s="1035">
        <f t="shared" si="0"/>
        <v>0</v>
      </c>
      <c r="D31" s="1035">
        <f t="shared" si="1"/>
        <v>0</v>
      </c>
      <c r="E31" s="1035"/>
      <c r="F31" s="1035"/>
      <c r="G31" s="1035">
        <f t="shared" si="2"/>
        <v>0</v>
      </c>
      <c r="H31" s="1035"/>
      <c r="I31" s="1035">
        <f t="shared" si="3"/>
        <v>0</v>
      </c>
      <c r="J31" s="1035">
        <f t="shared" si="3"/>
        <v>0</v>
      </c>
      <c r="K31" s="1035">
        <f t="shared" si="3"/>
        <v>0</v>
      </c>
      <c r="L31" s="1035"/>
      <c r="M31" s="1023"/>
      <c r="N31" s="1023"/>
      <c r="O31" s="1023"/>
      <c r="P31" s="1035"/>
      <c r="Q31" s="1023"/>
      <c r="R31" s="1023"/>
      <c r="S31" s="1023"/>
    </row>
    <row r="32" spans="1:19" hidden="1">
      <c r="A32" s="1058">
        <f t="shared" si="4"/>
        <v>2.1599999999999966</v>
      </c>
      <c r="B32" s="1023"/>
      <c r="C32" s="1035">
        <f t="shared" si="0"/>
        <v>0</v>
      </c>
      <c r="D32" s="1035">
        <f t="shared" si="1"/>
        <v>0</v>
      </c>
      <c r="E32" s="1035"/>
      <c r="F32" s="1035"/>
      <c r="G32" s="1035">
        <f t="shared" si="2"/>
        <v>0</v>
      </c>
      <c r="H32" s="1035"/>
      <c r="I32" s="1035">
        <f t="shared" si="3"/>
        <v>0</v>
      </c>
      <c r="J32" s="1035">
        <f t="shared" si="3"/>
        <v>0</v>
      </c>
      <c r="K32" s="1035">
        <f t="shared" si="3"/>
        <v>0</v>
      </c>
      <c r="L32" s="1035"/>
      <c r="M32" s="1023"/>
      <c r="N32" s="1023"/>
      <c r="O32" s="1023"/>
      <c r="P32" s="1035"/>
      <c r="Q32" s="1023"/>
      <c r="R32" s="1023"/>
      <c r="S32" s="1023"/>
    </row>
    <row r="33" spans="1:19" hidden="1">
      <c r="A33" s="1058">
        <f t="shared" si="4"/>
        <v>2.1699999999999964</v>
      </c>
      <c r="B33" s="1023"/>
      <c r="C33" s="1035">
        <f t="shared" si="0"/>
        <v>0</v>
      </c>
      <c r="D33" s="1035">
        <f t="shared" si="1"/>
        <v>0</v>
      </c>
      <c r="E33" s="1035"/>
      <c r="F33" s="1035"/>
      <c r="G33" s="1035">
        <f t="shared" si="2"/>
        <v>0</v>
      </c>
      <c r="H33" s="1035"/>
      <c r="I33" s="1035">
        <f t="shared" si="3"/>
        <v>0</v>
      </c>
      <c r="J33" s="1035">
        <f t="shared" si="3"/>
        <v>0</v>
      </c>
      <c r="K33" s="1035">
        <f t="shared" si="3"/>
        <v>0</v>
      </c>
      <c r="L33" s="1035"/>
      <c r="M33" s="1023"/>
      <c r="N33" s="1023"/>
      <c r="O33" s="1023"/>
      <c r="P33" s="1035"/>
      <c r="Q33" s="1023"/>
      <c r="R33" s="1023"/>
      <c r="S33" s="1023"/>
    </row>
    <row r="34" spans="1:19" hidden="1">
      <c r="A34" s="1058">
        <f t="shared" si="4"/>
        <v>2.1799999999999962</v>
      </c>
      <c r="B34" s="1023"/>
      <c r="C34" s="1035">
        <f t="shared" si="0"/>
        <v>0</v>
      </c>
      <c r="D34" s="1035">
        <f t="shared" si="1"/>
        <v>0</v>
      </c>
      <c r="E34" s="1035"/>
      <c r="F34" s="1035"/>
      <c r="G34" s="1035">
        <f t="shared" si="2"/>
        <v>0</v>
      </c>
      <c r="H34" s="1035"/>
      <c r="I34" s="1035">
        <f t="shared" si="3"/>
        <v>0</v>
      </c>
      <c r="J34" s="1035">
        <f t="shared" si="3"/>
        <v>0</v>
      </c>
      <c r="K34" s="1035">
        <f t="shared" si="3"/>
        <v>0</v>
      </c>
      <c r="L34" s="1035"/>
      <c r="M34" s="1023"/>
      <c r="N34" s="1023"/>
      <c r="O34" s="1023"/>
      <c r="P34" s="1035"/>
      <c r="Q34" s="1023"/>
      <c r="R34" s="1023"/>
      <c r="S34" s="1023"/>
    </row>
    <row r="35" spans="1:19" hidden="1">
      <c r="A35" s="1058">
        <f t="shared" si="4"/>
        <v>2.1899999999999959</v>
      </c>
      <c r="B35" s="1023"/>
      <c r="C35" s="1035">
        <f t="shared" si="0"/>
        <v>0</v>
      </c>
      <c r="D35" s="1035">
        <f t="shared" si="1"/>
        <v>0</v>
      </c>
      <c r="E35" s="1035"/>
      <c r="F35" s="1035"/>
      <c r="G35" s="1035">
        <f t="shared" si="2"/>
        <v>0</v>
      </c>
      <c r="H35" s="1035"/>
      <c r="I35" s="1035">
        <f t="shared" si="3"/>
        <v>0</v>
      </c>
      <c r="J35" s="1035">
        <f t="shared" si="3"/>
        <v>0</v>
      </c>
      <c r="K35" s="1035">
        <f t="shared" si="3"/>
        <v>0</v>
      </c>
      <c r="L35" s="1035"/>
      <c r="M35" s="1023"/>
      <c r="N35" s="1023"/>
      <c r="O35" s="1023"/>
      <c r="P35" s="1035"/>
      <c r="Q35" s="1023"/>
      <c r="R35" s="1023"/>
      <c r="S35" s="1023"/>
    </row>
    <row r="36" spans="1:19" hidden="1">
      <c r="A36" s="1058">
        <f t="shared" si="4"/>
        <v>2.1999999999999957</v>
      </c>
      <c r="B36" s="1023"/>
      <c r="C36" s="1035">
        <f t="shared" si="0"/>
        <v>0</v>
      </c>
      <c r="D36" s="1035">
        <f t="shared" si="1"/>
        <v>0</v>
      </c>
      <c r="E36" s="1035"/>
      <c r="F36" s="1035"/>
      <c r="G36" s="1035">
        <f t="shared" si="2"/>
        <v>0</v>
      </c>
      <c r="H36" s="1035"/>
      <c r="I36" s="1035">
        <f t="shared" si="3"/>
        <v>0</v>
      </c>
      <c r="J36" s="1035">
        <f t="shared" si="3"/>
        <v>0</v>
      </c>
      <c r="K36" s="1035">
        <f t="shared" si="3"/>
        <v>0</v>
      </c>
      <c r="L36" s="1035"/>
      <c r="M36" s="1023"/>
      <c r="N36" s="1023"/>
      <c r="O36" s="1023"/>
      <c r="P36" s="1035"/>
      <c r="Q36" s="1023"/>
      <c r="R36" s="1023"/>
      <c r="S36" s="1023"/>
    </row>
    <row r="37" spans="1:19" hidden="1">
      <c r="A37" s="1058">
        <f t="shared" si="4"/>
        <v>2.2099999999999955</v>
      </c>
      <c r="B37" s="1023"/>
      <c r="C37" s="1035">
        <f t="shared" si="0"/>
        <v>0</v>
      </c>
      <c r="D37" s="1035">
        <f t="shared" si="1"/>
        <v>0</v>
      </c>
      <c r="E37" s="1035"/>
      <c r="F37" s="1035"/>
      <c r="G37" s="1035">
        <f t="shared" si="2"/>
        <v>0</v>
      </c>
      <c r="H37" s="1035"/>
      <c r="I37" s="1035">
        <f t="shared" si="3"/>
        <v>0</v>
      </c>
      <c r="J37" s="1035">
        <f t="shared" si="3"/>
        <v>0</v>
      </c>
      <c r="K37" s="1035">
        <f t="shared" si="3"/>
        <v>0</v>
      </c>
      <c r="L37" s="1035"/>
      <c r="M37" s="1023"/>
      <c r="N37" s="1023"/>
      <c r="O37" s="1023"/>
      <c r="P37" s="1035"/>
      <c r="Q37" s="1023"/>
      <c r="R37" s="1023"/>
      <c r="S37" s="1023"/>
    </row>
    <row r="38" spans="1:19" hidden="1">
      <c r="A38" s="1058">
        <f t="shared" si="4"/>
        <v>2.2199999999999953</v>
      </c>
      <c r="B38" s="1023"/>
      <c r="C38" s="1035">
        <f t="shared" si="0"/>
        <v>0</v>
      </c>
      <c r="D38" s="1035">
        <f t="shared" si="1"/>
        <v>0</v>
      </c>
      <c r="E38" s="1035"/>
      <c r="F38" s="1035"/>
      <c r="G38" s="1035">
        <f t="shared" si="2"/>
        <v>0</v>
      </c>
      <c r="H38" s="1035"/>
      <c r="I38" s="1035">
        <f t="shared" si="3"/>
        <v>0</v>
      </c>
      <c r="J38" s="1035">
        <f t="shared" si="3"/>
        <v>0</v>
      </c>
      <c r="K38" s="1035">
        <f t="shared" si="3"/>
        <v>0</v>
      </c>
      <c r="L38" s="1035"/>
      <c r="M38" s="1023"/>
      <c r="N38" s="1023"/>
      <c r="O38" s="1023"/>
      <c r="P38" s="1035"/>
      <c r="Q38" s="1023"/>
      <c r="R38" s="1023"/>
      <c r="S38" s="1023"/>
    </row>
    <row r="39" spans="1:19" hidden="1">
      <c r="A39" s="1058">
        <f t="shared" si="4"/>
        <v>2.2299999999999951</v>
      </c>
      <c r="B39" s="1023"/>
      <c r="C39" s="1035">
        <f t="shared" si="0"/>
        <v>0</v>
      </c>
      <c r="D39" s="1035">
        <f t="shared" si="1"/>
        <v>0</v>
      </c>
      <c r="E39" s="1035"/>
      <c r="F39" s="1035"/>
      <c r="G39" s="1035">
        <f t="shared" si="2"/>
        <v>0</v>
      </c>
      <c r="H39" s="1035"/>
      <c r="I39" s="1035">
        <f t="shared" si="3"/>
        <v>0</v>
      </c>
      <c r="J39" s="1035">
        <f t="shared" si="3"/>
        <v>0</v>
      </c>
      <c r="K39" s="1035">
        <f t="shared" si="3"/>
        <v>0</v>
      </c>
      <c r="L39" s="1035"/>
      <c r="M39" s="1023"/>
      <c r="N39" s="1023"/>
      <c r="O39" s="1023"/>
      <c r="P39" s="1035"/>
      <c r="Q39" s="1023"/>
      <c r="R39" s="1023"/>
      <c r="S39" s="1023"/>
    </row>
    <row r="40" spans="1:19" hidden="1">
      <c r="A40" s="1058">
        <f t="shared" si="4"/>
        <v>2.2399999999999949</v>
      </c>
      <c r="B40" s="1023"/>
      <c r="C40" s="1035">
        <f t="shared" si="0"/>
        <v>0</v>
      </c>
      <c r="D40" s="1035">
        <f t="shared" si="1"/>
        <v>0</v>
      </c>
      <c r="E40" s="1035"/>
      <c r="F40" s="1035"/>
      <c r="G40" s="1035">
        <f t="shared" si="2"/>
        <v>0</v>
      </c>
      <c r="H40" s="1035"/>
      <c r="I40" s="1035">
        <f t="shared" si="3"/>
        <v>0</v>
      </c>
      <c r="J40" s="1035">
        <f t="shared" si="3"/>
        <v>0</v>
      </c>
      <c r="K40" s="1035">
        <f t="shared" si="3"/>
        <v>0</v>
      </c>
      <c r="L40" s="1035"/>
      <c r="M40" s="1023"/>
      <c r="N40" s="1023"/>
      <c r="O40" s="1023"/>
      <c r="P40" s="1035"/>
      <c r="Q40" s="1023"/>
      <c r="R40" s="1023"/>
      <c r="S40" s="1023"/>
    </row>
    <row r="41" spans="1:19" hidden="1">
      <c r="A41" s="1058">
        <f t="shared" si="4"/>
        <v>2.2499999999999947</v>
      </c>
      <c r="B41" s="1023"/>
      <c r="C41" s="1035">
        <f t="shared" si="0"/>
        <v>0</v>
      </c>
      <c r="D41" s="1035">
        <f t="shared" si="1"/>
        <v>0</v>
      </c>
      <c r="E41" s="1035"/>
      <c r="F41" s="1035"/>
      <c r="G41" s="1035">
        <f t="shared" si="2"/>
        <v>0</v>
      </c>
      <c r="H41" s="1035"/>
      <c r="I41" s="1035">
        <f t="shared" si="3"/>
        <v>0</v>
      </c>
      <c r="J41" s="1035">
        <f t="shared" si="3"/>
        <v>0</v>
      </c>
      <c r="K41" s="1035">
        <f t="shared" si="3"/>
        <v>0</v>
      </c>
      <c r="L41" s="1035"/>
      <c r="M41" s="1023"/>
      <c r="N41" s="1023"/>
      <c r="O41" s="1023"/>
      <c r="P41" s="1035"/>
      <c r="Q41" s="1023"/>
      <c r="R41" s="1023"/>
      <c r="S41" s="1023"/>
    </row>
    <row r="42" spans="1:19" hidden="1">
      <c r="A42" s="1058">
        <f t="shared" si="4"/>
        <v>2.2599999999999945</v>
      </c>
      <c r="B42" s="1023"/>
      <c r="C42" s="1035">
        <f t="shared" si="0"/>
        <v>0</v>
      </c>
      <c r="D42" s="1035">
        <f t="shared" si="1"/>
        <v>0</v>
      </c>
      <c r="E42" s="1035"/>
      <c r="F42" s="1035"/>
      <c r="G42" s="1035">
        <f t="shared" si="2"/>
        <v>0</v>
      </c>
      <c r="H42" s="1035"/>
      <c r="I42" s="1035">
        <f t="shared" si="3"/>
        <v>0</v>
      </c>
      <c r="J42" s="1035">
        <f t="shared" si="3"/>
        <v>0</v>
      </c>
      <c r="K42" s="1035">
        <f t="shared" si="3"/>
        <v>0</v>
      </c>
      <c r="L42" s="1035"/>
      <c r="M42" s="1023"/>
      <c r="N42" s="1023"/>
      <c r="O42" s="1023"/>
      <c r="P42" s="1035"/>
      <c r="Q42" s="1023"/>
      <c r="R42" s="1023"/>
      <c r="S42" s="1023"/>
    </row>
    <row r="43" spans="1:19" hidden="1">
      <c r="A43" s="1058">
        <f t="shared" si="4"/>
        <v>2.2699999999999942</v>
      </c>
      <c r="B43" s="1023"/>
      <c r="C43" s="1035">
        <f t="shared" si="0"/>
        <v>0</v>
      </c>
      <c r="D43" s="1035">
        <f t="shared" si="1"/>
        <v>0</v>
      </c>
      <c r="E43" s="1035"/>
      <c r="F43" s="1035"/>
      <c r="G43" s="1035">
        <f t="shared" si="2"/>
        <v>0</v>
      </c>
      <c r="H43" s="1035"/>
      <c r="I43" s="1035">
        <f t="shared" si="3"/>
        <v>0</v>
      </c>
      <c r="J43" s="1035">
        <f t="shared" si="3"/>
        <v>0</v>
      </c>
      <c r="K43" s="1035">
        <f t="shared" si="3"/>
        <v>0</v>
      </c>
      <c r="L43" s="1035"/>
      <c r="M43" s="1023"/>
      <c r="N43" s="1023"/>
      <c r="O43" s="1023"/>
      <c r="P43" s="1035"/>
      <c r="Q43" s="1023"/>
      <c r="R43" s="1023"/>
      <c r="S43" s="1023"/>
    </row>
    <row r="44" spans="1:19" hidden="1">
      <c r="A44" s="1058">
        <f t="shared" si="4"/>
        <v>2.279999999999994</v>
      </c>
      <c r="B44" s="1023"/>
      <c r="C44" s="1035">
        <f t="shared" si="0"/>
        <v>0</v>
      </c>
      <c r="D44" s="1035">
        <f t="shared" si="1"/>
        <v>0</v>
      </c>
      <c r="E44" s="1035"/>
      <c r="F44" s="1035"/>
      <c r="G44" s="1035">
        <f t="shared" si="2"/>
        <v>0</v>
      </c>
      <c r="H44" s="1035"/>
      <c r="I44" s="1035">
        <f t="shared" si="3"/>
        <v>0</v>
      </c>
      <c r="J44" s="1035">
        <f t="shared" si="3"/>
        <v>0</v>
      </c>
      <c r="K44" s="1035">
        <f t="shared" si="3"/>
        <v>0</v>
      </c>
      <c r="L44" s="1035"/>
      <c r="M44" s="1023"/>
      <c r="N44" s="1023"/>
      <c r="O44" s="1023"/>
      <c r="P44" s="1035"/>
      <c r="Q44" s="1023"/>
      <c r="R44" s="1023"/>
      <c r="S44" s="1023"/>
    </row>
    <row r="45" spans="1:19" hidden="1">
      <c r="A45" s="1058">
        <f t="shared" si="4"/>
        <v>2.2899999999999938</v>
      </c>
      <c r="B45" s="1023"/>
      <c r="C45" s="1035">
        <f t="shared" si="0"/>
        <v>0</v>
      </c>
      <c r="D45" s="1035">
        <f t="shared" si="1"/>
        <v>0</v>
      </c>
      <c r="E45" s="1035"/>
      <c r="F45" s="1035"/>
      <c r="G45" s="1035">
        <f t="shared" si="2"/>
        <v>0</v>
      </c>
      <c r="H45" s="1035"/>
      <c r="I45" s="1035">
        <f t="shared" si="3"/>
        <v>0</v>
      </c>
      <c r="J45" s="1035">
        <f t="shared" si="3"/>
        <v>0</v>
      </c>
      <c r="K45" s="1035">
        <f t="shared" si="3"/>
        <v>0</v>
      </c>
      <c r="L45" s="1035"/>
      <c r="M45" s="1023"/>
      <c r="N45" s="1023"/>
      <c r="O45" s="1023"/>
      <c r="P45" s="1035"/>
      <c r="Q45" s="1023"/>
      <c r="R45" s="1023"/>
      <c r="S45" s="1023"/>
    </row>
    <row r="46" spans="1:19" hidden="1">
      <c r="A46" s="1058">
        <f t="shared" si="4"/>
        <v>2.2999999999999936</v>
      </c>
      <c r="B46" s="1023"/>
      <c r="C46" s="1035">
        <f t="shared" si="0"/>
        <v>0</v>
      </c>
      <c r="D46" s="1035">
        <f t="shared" si="1"/>
        <v>0</v>
      </c>
      <c r="E46" s="1035"/>
      <c r="F46" s="1035"/>
      <c r="G46" s="1035">
        <f t="shared" si="2"/>
        <v>0</v>
      </c>
      <c r="H46" s="1035"/>
      <c r="I46" s="1035">
        <f t="shared" si="3"/>
        <v>0</v>
      </c>
      <c r="J46" s="1035">
        <f t="shared" si="3"/>
        <v>0</v>
      </c>
      <c r="K46" s="1035">
        <f t="shared" si="3"/>
        <v>0</v>
      </c>
      <c r="L46" s="1035"/>
      <c r="M46" s="1023"/>
      <c r="N46" s="1023"/>
      <c r="O46" s="1023"/>
      <c r="P46" s="1035"/>
      <c r="Q46" s="1023"/>
      <c r="R46" s="1023"/>
      <c r="S46" s="1023"/>
    </row>
    <row r="47" spans="1:19" hidden="1">
      <c r="A47" s="1058">
        <f t="shared" si="4"/>
        <v>2.3099999999999934</v>
      </c>
      <c r="B47" s="1023"/>
      <c r="C47" s="1035">
        <f t="shared" si="0"/>
        <v>0</v>
      </c>
      <c r="D47" s="1035">
        <f t="shared" si="1"/>
        <v>0</v>
      </c>
      <c r="E47" s="1035"/>
      <c r="F47" s="1035"/>
      <c r="G47" s="1035">
        <f t="shared" si="2"/>
        <v>0</v>
      </c>
      <c r="H47" s="1035"/>
      <c r="I47" s="1035">
        <f t="shared" si="3"/>
        <v>0</v>
      </c>
      <c r="J47" s="1035">
        <f t="shared" si="3"/>
        <v>0</v>
      </c>
      <c r="K47" s="1035">
        <f t="shared" si="3"/>
        <v>0</v>
      </c>
      <c r="L47" s="1035"/>
      <c r="M47" s="1023"/>
      <c r="N47" s="1023"/>
      <c r="O47" s="1023"/>
      <c r="P47" s="1035"/>
      <c r="Q47" s="1023"/>
      <c r="R47" s="1023"/>
      <c r="S47" s="1023"/>
    </row>
    <row r="48" spans="1:19" hidden="1">
      <c r="A48" s="1058">
        <f t="shared" si="4"/>
        <v>2.3199999999999932</v>
      </c>
      <c r="B48" s="1023"/>
      <c r="C48" s="1035">
        <f t="shared" si="0"/>
        <v>0</v>
      </c>
      <c r="D48" s="1035">
        <f t="shared" si="1"/>
        <v>0</v>
      </c>
      <c r="E48" s="1035"/>
      <c r="F48" s="1035"/>
      <c r="G48" s="1035">
        <f t="shared" si="2"/>
        <v>0</v>
      </c>
      <c r="H48" s="1035"/>
      <c r="I48" s="1035">
        <f t="shared" si="3"/>
        <v>0</v>
      </c>
      <c r="J48" s="1035">
        <f t="shared" si="3"/>
        <v>0</v>
      </c>
      <c r="K48" s="1035">
        <f t="shared" si="3"/>
        <v>0</v>
      </c>
      <c r="L48" s="1035"/>
      <c r="M48" s="1023"/>
      <c r="N48" s="1023"/>
      <c r="O48" s="1023"/>
      <c r="P48" s="1035"/>
      <c r="Q48" s="1023"/>
      <c r="R48" s="1023"/>
      <c r="S48" s="1023"/>
    </row>
    <row r="49" spans="1:19" hidden="1">
      <c r="A49" s="1058">
        <f t="shared" si="4"/>
        <v>2.329999999999993</v>
      </c>
      <c r="B49" s="1023"/>
      <c r="C49" s="1035">
        <f t="shared" si="0"/>
        <v>0</v>
      </c>
      <c r="D49" s="1035">
        <f t="shared" si="1"/>
        <v>0</v>
      </c>
      <c r="E49" s="1035"/>
      <c r="F49" s="1035"/>
      <c r="G49" s="1035">
        <f t="shared" si="2"/>
        <v>0</v>
      </c>
      <c r="H49" s="1035"/>
      <c r="I49" s="1035">
        <f t="shared" ref="I49:K80" si="5">(M49+Q49)/2</f>
        <v>0</v>
      </c>
      <c r="J49" s="1035">
        <f t="shared" si="5"/>
        <v>0</v>
      </c>
      <c r="K49" s="1035">
        <f t="shared" si="5"/>
        <v>0</v>
      </c>
      <c r="L49" s="1035"/>
      <c r="M49" s="1023"/>
      <c r="N49" s="1023"/>
      <c r="O49" s="1023"/>
      <c r="P49" s="1035"/>
      <c r="Q49" s="1023"/>
      <c r="R49" s="1023"/>
      <c r="S49" s="1023"/>
    </row>
    <row r="50" spans="1:19" hidden="1">
      <c r="A50" s="1058">
        <f t="shared" si="4"/>
        <v>2.3399999999999928</v>
      </c>
      <c r="B50" s="1023"/>
      <c r="C50" s="1035">
        <f t="shared" si="0"/>
        <v>0</v>
      </c>
      <c r="D50" s="1035">
        <f t="shared" si="1"/>
        <v>0</v>
      </c>
      <c r="E50" s="1035"/>
      <c r="F50" s="1035"/>
      <c r="G50" s="1035">
        <f t="shared" si="2"/>
        <v>0</v>
      </c>
      <c r="H50" s="1035"/>
      <c r="I50" s="1035">
        <f t="shared" si="5"/>
        <v>0</v>
      </c>
      <c r="J50" s="1035">
        <f t="shared" si="5"/>
        <v>0</v>
      </c>
      <c r="K50" s="1035">
        <f t="shared" si="5"/>
        <v>0</v>
      </c>
      <c r="L50" s="1035"/>
      <c r="M50" s="1023"/>
      <c r="N50" s="1023"/>
      <c r="O50" s="1023"/>
      <c r="P50" s="1035"/>
      <c r="Q50" s="1023"/>
      <c r="R50" s="1023"/>
      <c r="S50" s="1023"/>
    </row>
    <row r="51" spans="1:19" hidden="1">
      <c r="A51" s="1058">
        <f t="shared" si="4"/>
        <v>2.3499999999999925</v>
      </c>
      <c r="B51" s="1023"/>
      <c r="C51" s="1035">
        <f t="shared" si="0"/>
        <v>0</v>
      </c>
      <c r="D51" s="1035">
        <f t="shared" si="1"/>
        <v>0</v>
      </c>
      <c r="E51" s="1035"/>
      <c r="F51" s="1035"/>
      <c r="G51" s="1035">
        <f t="shared" si="2"/>
        <v>0</v>
      </c>
      <c r="H51" s="1035"/>
      <c r="I51" s="1035">
        <f t="shared" si="5"/>
        <v>0</v>
      </c>
      <c r="J51" s="1035">
        <f t="shared" si="5"/>
        <v>0</v>
      </c>
      <c r="K51" s="1035">
        <f t="shared" si="5"/>
        <v>0</v>
      </c>
      <c r="L51" s="1035"/>
      <c r="M51" s="1023"/>
      <c r="N51" s="1023"/>
      <c r="O51" s="1023"/>
      <c r="P51" s="1035"/>
      <c r="Q51" s="1023"/>
      <c r="R51" s="1023"/>
      <c r="S51" s="1023"/>
    </row>
    <row r="52" spans="1:19" hidden="1">
      <c r="A52" s="1058">
        <f t="shared" si="4"/>
        <v>2.3599999999999923</v>
      </c>
      <c r="B52" s="1023"/>
      <c r="C52" s="1035">
        <f t="shared" si="0"/>
        <v>0</v>
      </c>
      <c r="D52" s="1035">
        <f t="shared" si="1"/>
        <v>0</v>
      </c>
      <c r="E52" s="1035"/>
      <c r="F52" s="1035"/>
      <c r="G52" s="1035">
        <f t="shared" si="2"/>
        <v>0</v>
      </c>
      <c r="H52" s="1035"/>
      <c r="I52" s="1035">
        <f t="shared" si="5"/>
        <v>0</v>
      </c>
      <c r="J52" s="1035">
        <f t="shared" si="5"/>
        <v>0</v>
      </c>
      <c r="K52" s="1035">
        <f t="shared" si="5"/>
        <v>0</v>
      </c>
      <c r="L52" s="1035"/>
      <c r="M52" s="1023"/>
      <c r="N52" s="1023"/>
      <c r="O52" s="1023"/>
      <c r="P52" s="1035"/>
      <c r="Q52" s="1023"/>
      <c r="R52" s="1023"/>
      <c r="S52" s="1023"/>
    </row>
    <row r="53" spans="1:19" hidden="1">
      <c r="A53" s="1058">
        <f t="shared" si="4"/>
        <v>2.3699999999999921</v>
      </c>
      <c r="B53" s="1023"/>
      <c r="C53" s="1035">
        <f t="shared" si="0"/>
        <v>0</v>
      </c>
      <c r="D53" s="1035">
        <f t="shared" si="1"/>
        <v>0</v>
      </c>
      <c r="E53" s="1035"/>
      <c r="F53" s="1035"/>
      <c r="G53" s="1035">
        <f t="shared" si="2"/>
        <v>0</v>
      </c>
      <c r="H53" s="1035"/>
      <c r="I53" s="1035">
        <f t="shared" si="5"/>
        <v>0</v>
      </c>
      <c r="J53" s="1035">
        <f t="shared" si="5"/>
        <v>0</v>
      </c>
      <c r="K53" s="1035">
        <f t="shared" si="5"/>
        <v>0</v>
      </c>
      <c r="L53" s="1035"/>
      <c r="M53" s="1023"/>
      <c r="N53" s="1023"/>
      <c r="O53" s="1023"/>
      <c r="P53" s="1035"/>
      <c r="Q53" s="1023"/>
      <c r="R53" s="1023"/>
      <c r="S53" s="1023"/>
    </row>
    <row r="54" spans="1:19" hidden="1">
      <c r="A54" s="1058">
        <f t="shared" si="4"/>
        <v>2.3799999999999919</v>
      </c>
      <c r="B54" s="1023"/>
      <c r="C54" s="1035">
        <f t="shared" si="0"/>
        <v>0</v>
      </c>
      <c r="D54" s="1035">
        <f t="shared" si="1"/>
        <v>0</v>
      </c>
      <c r="E54" s="1035"/>
      <c r="F54" s="1035"/>
      <c r="G54" s="1035">
        <f t="shared" si="2"/>
        <v>0</v>
      </c>
      <c r="H54" s="1035"/>
      <c r="I54" s="1035">
        <f t="shared" si="5"/>
        <v>0</v>
      </c>
      <c r="J54" s="1035">
        <f t="shared" si="5"/>
        <v>0</v>
      </c>
      <c r="K54" s="1035">
        <f t="shared" si="5"/>
        <v>0</v>
      </c>
      <c r="L54" s="1035"/>
      <c r="M54" s="1023"/>
      <c r="N54" s="1023"/>
      <c r="O54" s="1023"/>
      <c r="P54" s="1035"/>
      <c r="Q54" s="1023"/>
      <c r="R54" s="1023"/>
      <c r="S54" s="1023"/>
    </row>
    <row r="55" spans="1:19" hidden="1">
      <c r="A55" s="1058">
        <f t="shared" si="4"/>
        <v>2.3899999999999917</v>
      </c>
      <c r="B55" s="1023"/>
      <c r="C55" s="1035">
        <f t="shared" si="0"/>
        <v>0</v>
      </c>
      <c r="D55" s="1035">
        <f t="shared" si="1"/>
        <v>0</v>
      </c>
      <c r="E55" s="1035"/>
      <c r="F55" s="1035"/>
      <c r="G55" s="1035">
        <f t="shared" si="2"/>
        <v>0</v>
      </c>
      <c r="H55" s="1035"/>
      <c r="I55" s="1035">
        <f t="shared" si="5"/>
        <v>0</v>
      </c>
      <c r="J55" s="1035">
        <f t="shared" si="5"/>
        <v>0</v>
      </c>
      <c r="K55" s="1035">
        <f t="shared" si="5"/>
        <v>0</v>
      </c>
      <c r="L55" s="1035"/>
      <c r="M55" s="1023"/>
      <c r="N55" s="1023"/>
      <c r="O55" s="1023"/>
      <c r="P55" s="1035"/>
      <c r="Q55" s="1023"/>
      <c r="R55" s="1023"/>
      <c r="S55" s="1023"/>
    </row>
    <row r="56" spans="1:19" hidden="1">
      <c r="A56" s="1058">
        <f t="shared" si="4"/>
        <v>2.3999999999999915</v>
      </c>
      <c r="B56" s="1023"/>
      <c r="C56" s="1035">
        <f t="shared" si="0"/>
        <v>0</v>
      </c>
      <c r="D56" s="1035">
        <f t="shared" si="1"/>
        <v>0</v>
      </c>
      <c r="E56" s="1035"/>
      <c r="F56" s="1035"/>
      <c r="G56" s="1035">
        <f t="shared" si="2"/>
        <v>0</v>
      </c>
      <c r="H56" s="1035"/>
      <c r="I56" s="1035">
        <f t="shared" si="5"/>
        <v>0</v>
      </c>
      <c r="J56" s="1035">
        <f t="shared" si="5"/>
        <v>0</v>
      </c>
      <c r="K56" s="1035">
        <f t="shared" si="5"/>
        <v>0</v>
      </c>
      <c r="L56" s="1035"/>
      <c r="M56" s="1023"/>
      <c r="N56" s="1023"/>
      <c r="O56" s="1023"/>
      <c r="P56" s="1035"/>
      <c r="Q56" s="1023"/>
      <c r="R56" s="1023"/>
      <c r="S56" s="1023"/>
    </row>
    <row r="57" spans="1:19" hidden="1">
      <c r="A57" s="1058">
        <f t="shared" si="4"/>
        <v>2.4099999999999913</v>
      </c>
      <c r="B57" s="1023"/>
      <c r="C57" s="1035">
        <f t="shared" si="0"/>
        <v>0</v>
      </c>
      <c r="D57" s="1035">
        <f t="shared" si="1"/>
        <v>0</v>
      </c>
      <c r="E57" s="1035"/>
      <c r="F57" s="1035"/>
      <c r="G57" s="1035">
        <f t="shared" si="2"/>
        <v>0</v>
      </c>
      <c r="H57" s="1035"/>
      <c r="I57" s="1035">
        <f t="shared" si="5"/>
        <v>0</v>
      </c>
      <c r="J57" s="1035">
        <f t="shared" si="5"/>
        <v>0</v>
      </c>
      <c r="K57" s="1035">
        <f t="shared" si="5"/>
        <v>0</v>
      </c>
      <c r="L57" s="1035"/>
      <c r="M57" s="1023"/>
      <c r="N57" s="1023"/>
      <c r="O57" s="1023"/>
      <c r="P57" s="1035"/>
      <c r="Q57" s="1023"/>
      <c r="R57" s="1023"/>
      <c r="S57" s="1023"/>
    </row>
    <row r="58" spans="1:19" hidden="1">
      <c r="A58" s="1058">
        <f t="shared" si="4"/>
        <v>2.419999999999991</v>
      </c>
      <c r="B58" s="1023"/>
      <c r="C58" s="1035">
        <f t="shared" si="0"/>
        <v>0</v>
      </c>
      <c r="D58" s="1035">
        <f t="shared" si="1"/>
        <v>0</v>
      </c>
      <c r="E58" s="1035"/>
      <c r="F58" s="1035"/>
      <c r="G58" s="1035">
        <f t="shared" si="2"/>
        <v>0</v>
      </c>
      <c r="H58" s="1035"/>
      <c r="I58" s="1035">
        <f t="shared" si="5"/>
        <v>0</v>
      </c>
      <c r="J58" s="1035">
        <f t="shared" si="5"/>
        <v>0</v>
      </c>
      <c r="K58" s="1035">
        <f t="shared" si="5"/>
        <v>0</v>
      </c>
      <c r="L58" s="1035"/>
      <c r="M58" s="1023"/>
      <c r="N58" s="1023"/>
      <c r="O58" s="1023"/>
      <c r="P58" s="1035"/>
      <c r="Q58" s="1023"/>
      <c r="R58" s="1023"/>
      <c r="S58" s="1023"/>
    </row>
    <row r="59" spans="1:19" hidden="1">
      <c r="A59" s="1058">
        <f t="shared" si="4"/>
        <v>2.4299999999999908</v>
      </c>
      <c r="B59" s="1023"/>
      <c r="C59" s="1035">
        <f t="shared" si="0"/>
        <v>0</v>
      </c>
      <c r="D59" s="1035">
        <f t="shared" si="1"/>
        <v>0</v>
      </c>
      <c r="E59" s="1035"/>
      <c r="F59" s="1035"/>
      <c r="G59" s="1035">
        <f t="shared" si="2"/>
        <v>0</v>
      </c>
      <c r="H59" s="1035"/>
      <c r="I59" s="1035">
        <f t="shared" si="5"/>
        <v>0</v>
      </c>
      <c r="J59" s="1035">
        <f t="shared" si="5"/>
        <v>0</v>
      </c>
      <c r="K59" s="1035">
        <f t="shared" si="5"/>
        <v>0</v>
      </c>
      <c r="L59" s="1035"/>
      <c r="M59" s="1023"/>
      <c r="N59" s="1023"/>
      <c r="O59" s="1023"/>
      <c r="P59" s="1035"/>
      <c r="Q59" s="1023"/>
      <c r="R59" s="1023"/>
      <c r="S59" s="1023"/>
    </row>
    <row r="60" spans="1:19" hidden="1">
      <c r="A60" s="1058">
        <f t="shared" si="4"/>
        <v>2.4399999999999906</v>
      </c>
      <c r="B60" s="1023"/>
      <c r="C60" s="1035">
        <f t="shared" si="0"/>
        <v>0</v>
      </c>
      <c r="D60" s="1035">
        <f t="shared" si="1"/>
        <v>0</v>
      </c>
      <c r="E60" s="1035"/>
      <c r="F60" s="1035"/>
      <c r="G60" s="1035">
        <f t="shared" si="2"/>
        <v>0</v>
      </c>
      <c r="H60" s="1035"/>
      <c r="I60" s="1035">
        <f t="shared" si="5"/>
        <v>0</v>
      </c>
      <c r="J60" s="1035">
        <f t="shared" si="5"/>
        <v>0</v>
      </c>
      <c r="K60" s="1035">
        <f t="shared" si="5"/>
        <v>0</v>
      </c>
      <c r="L60" s="1035"/>
      <c r="M60" s="1023"/>
      <c r="N60" s="1023"/>
      <c r="O60" s="1023"/>
      <c r="P60" s="1035"/>
      <c r="Q60" s="1023"/>
      <c r="R60" s="1023"/>
      <c r="S60" s="1023"/>
    </row>
    <row r="61" spans="1:19" hidden="1">
      <c r="A61" s="1058">
        <f t="shared" si="4"/>
        <v>2.4499999999999904</v>
      </c>
      <c r="B61" s="1023"/>
      <c r="C61" s="1035">
        <f t="shared" si="0"/>
        <v>0</v>
      </c>
      <c r="D61" s="1035">
        <f t="shared" si="1"/>
        <v>0</v>
      </c>
      <c r="E61" s="1035"/>
      <c r="F61" s="1035"/>
      <c r="G61" s="1035">
        <f t="shared" si="2"/>
        <v>0</v>
      </c>
      <c r="H61" s="1035"/>
      <c r="I61" s="1035">
        <f t="shared" si="5"/>
        <v>0</v>
      </c>
      <c r="J61" s="1035">
        <f t="shared" si="5"/>
        <v>0</v>
      </c>
      <c r="K61" s="1035">
        <f t="shared" si="5"/>
        <v>0</v>
      </c>
      <c r="L61" s="1035"/>
      <c r="M61" s="1023"/>
      <c r="N61" s="1023"/>
      <c r="O61" s="1023"/>
      <c r="P61" s="1035"/>
      <c r="Q61" s="1023"/>
      <c r="R61" s="1023"/>
      <c r="S61" s="1023"/>
    </row>
    <row r="62" spans="1:19" hidden="1">
      <c r="A62" s="1058">
        <f t="shared" si="4"/>
        <v>2.4599999999999902</v>
      </c>
      <c r="B62" s="1023"/>
      <c r="C62" s="1035">
        <f t="shared" si="0"/>
        <v>0</v>
      </c>
      <c r="D62" s="1035">
        <f t="shared" si="1"/>
        <v>0</v>
      </c>
      <c r="E62" s="1035"/>
      <c r="F62" s="1035"/>
      <c r="G62" s="1035">
        <f t="shared" si="2"/>
        <v>0</v>
      </c>
      <c r="H62" s="1035"/>
      <c r="I62" s="1035">
        <f t="shared" si="5"/>
        <v>0</v>
      </c>
      <c r="J62" s="1035">
        <f t="shared" si="5"/>
        <v>0</v>
      </c>
      <c r="K62" s="1035">
        <f t="shared" si="5"/>
        <v>0</v>
      </c>
      <c r="L62" s="1035"/>
      <c r="M62" s="1023"/>
      <c r="N62" s="1023"/>
      <c r="O62" s="1023"/>
      <c r="P62" s="1035"/>
      <c r="Q62" s="1023"/>
      <c r="R62" s="1023"/>
      <c r="S62" s="1023"/>
    </row>
    <row r="63" spans="1:19" hidden="1">
      <c r="A63" s="1058">
        <f t="shared" si="4"/>
        <v>2.46999999999999</v>
      </c>
      <c r="B63" s="1023"/>
      <c r="C63" s="1035">
        <f t="shared" si="0"/>
        <v>0</v>
      </c>
      <c r="D63" s="1035">
        <f t="shared" si="1"/>
        <v>0</v>
      </c>
      <c r="E63" s="1035"/>
      <c r="F63" s="1035"/>
      <c r="G63" s="1035">
        <f t="shared" si="2"/>
        <v>0</v>
      </c>
      <c r="H63" s="1035"/>
      <c r="I63" s="1035">
        <f t="shared" si="5"/>
        <v>0</v>
      </c>
      <c r="J63" s="1035">
        <f t="shared" si="5"/>
        <v>0</v>
      </c>
      <c r="K63" s="1035">
        <f t="shared" si="5"/>
        <v>0</v>
      </c>
      <c r="L63" s="1035"/>
      <c r="M63" s="1023"/>
      <c r="N63" s="1023"/>
      <c r="O63" s="1023"/>
      <c r="P63" s="1035"/>
      <c r="Q63" s="1023"/>
      <c r="R63" s="1023"/>
      <c r="S63" s="1023"/>
    </row>
    <row r="64" spans="1:19" hidden="1">
      <c r="A64" s="1058">
        <f t="shared" si="4"/>
        <v>2.4799999999999898</v>
      </c>
      <c r="B64" s="1023"/>
      <c r="C64" s="1035">
        <f t="shared" si="0"/>
        <v>0</v>
      </c>
      <c r="D64" s="1035">
        <f t="shared" si="1"/>
        <v>0</v>
      </c>
      <c r="E64" s="1035"/>
      <c r="F64" s="1035"/>
      <c r="G64" s="1035">
        <f t="shared" si="2"/>
        <v>0</v>
      </c>
      <c r="H64" s="1035"/>
      <c r="I64" s="1035">
        <f t="shared" si="5"/>
        <v>0</v>
      </c>
      <c r="J64" s="1035">
        <f t="shared" si="5"/>
        <v>0</v>
      </c>
      <c r="K64" s="1035">
        <f t="shared" si="5"/>
        <v>0</v>
      </c>
      <c r="L64" s="1035"/>
      <c r="M64" s="1023"/>
      <c r="N64" s="1023"/>
      <c r="O64" s="1023"/>
      <c r="P64" s="1035"/>
      <c r="Q64" s="1023"/>
      <c r="R64" s="1023"/>
      <c r="S64" s="1023"/>
    </row>
    <row r="65" spans="1:19" hidden="1">
      <c r="A65" s="1058">
        <f t="shared" si="4"/>
        <v>2.4899999999999896</v>
      </c>
      <c r="B65" s="1023"/>
      <c r="C65" s="1035">
        <f t="shared" si="0"/>
        <v>0</v>
      </c>
      <c r="D65" s="1035">
        <f t="shared" si="1"/>
        <v>0</v>
      </c>
      <c r="E65" s="1035"/>
      <c r="F65" s="1035"/>
      <c r="G65" s="1035">
        <f t="shared" si="2"/>
        <v>0</v>
      </c>
      <c r="H65" s="1035"/>
      <c r="I65" s="1035">
        <f t="shared" si="5"/>
        <v>0</v>
      </c>
      <c r="J65" s="1035">
        <f t="shared" si="5"/>
        <v>0</v>
      </c>
      <c r="K65" s="1035">
        <f t="shared" si="5"/>
        <v>0</v>
      </c>
      <c r="L65" s="1035"/>
      <c r="M65" s="1023"/>
      <c r="N65" s="1023"/>
      <c r="O65" s="1023"/>
      <c r="P65" s="1035"/>
      <c r="Q65" s="1023"/>
      <c r="R65" s="1023"/>
      <c r="S65" s="1023"/>
    </row>
    <row r="66" spans="1:19" hidden="1">
      <c r="A66" s="1058">
        <f t="shared" si="4"/>
        <v>2.4999999999999893</v>
      </c>
      <c r="B66" s="1023"/>
      <c r="C66" s="1035">
        <f t="shared" si="0"/>
        <v>0</v>
      </c>
      <c r="D66" s="1035">
        <f t="shared" si="1"/>
        <v>0</v>
      </c>
      <c r="E66" s="1035"/>
      <c r="F66" s="1035"/>
      <c r="G66" s="1035">
        <f t="shared" si="2"/>
        <v>0</v>
      </c>
      <c r="H66" s="1035"/>
      <c r="I66" s="1035">
        <f t="shared" si="5"/>
        <v>0</v>
      </c>
      <c r="J66" s="1035">
        <f t="shared" si="5"/>
        <v>0</v>
      </c>
      <c r="K66" s="1035">
        <f t="shared" si="5"/>
        <v>0</v>
      </c>
      <c r="L66" s="1035"/>
      <c r="M66" s="1023"/>
      <c r="N66" s="1023"/>
      <c r="O66" s="1023"/>
      <c r="P66" s="1035"/>
      <c r="Q66" s="1023"/>
      <c r="R66" s="1023"/>
      <c r="S66" s="1023"/>
    </row>
    <row r="67" spans="1:19" hidden="1">
      <c r="A67" s="1058">
        <f t="shared" si="4"/>
        <v>2.5099999999999891</v>
      </c>
      <c r="B67" s="1023"/>
      <c r="C67" s="1035">
        <f t="shared" si="0"/>
        <v>0</v>
      </c>
      <c r="D67" s="1035">
        <f t="shared" si="1"/>
        <v>0</v>
      </c>
      <c r="E67" s="1035"/>
      <c r="F67" s="1035"/>
      <c r="G67" s="1035">
        <f t="shared" si="2"/>
        <v>0</v>
      </c>
      <c r="H67" s="1035"/>
      <c r="I67" s="1035">
        <f t="shared" si="5"/>
        <v>0</v>
      </c>
      <c r="J67" s="1035">
        <f t="shared" si="5"/>
        <v>0</v>
      </c>
      <c r="K67" s="1035">
        <f t="shared" si="5"/>
        <v>0</v>
      </c>
      <c r="L67" s="1035"/>
      <c r="M67" s="1023"/>
      <c r="N67" s="1023"/>
      <c r="O67" s="1023"/>
      <c r="P67" s="1035"/>
      <c r="Q67" s="1023"/>
      <c r="R67" s="1023"/>
      <c r="S67" s="1023"/>
    </row>
    <row r="68" spans="1:19" hidden="1">
      <c r="A68" s="1058">
        <f t="shared" si="4"/>
        <v>2.5199999999999889</v>
      </c>
      <c r="B68" s="1023"/>
      <c r="C68" s="1035">
        <f t="shared" si="0"/>
        <v>0</v>
      </c>
      <c r="D68" s="1035">
        <f t="shared" si="1"/>
        <v>0</v>
      </c>
      <c r="E68" s="1035"/>
      <c r="F68" s="1035"/>
      <c r="G68" s="1035">
        <f t="shared" si="2"/>
        <v>0</v>
      </c>
      <c r="H68" s="1035"/>
      <c r="I68" s="1035">
        <f t="shared" si="5"/>
        <v>0</v>
      </c>
      <c r="J68" s="1035">
        <f t="shared" si="5"/>
        <v>0</v>
      </c>
      <c r="K68" s="1035">
        <f t="shared" si="5"/>
        <v>0</v>
      </c>
      <c r="L68" s="1035"/>
      <c r="M68" s="1023"/>
      <c r="N68" s="1023"/>
      <c r="O68" s="1023"/>
      <c r="P68" s="1035"/>
      <c r="Q68" s="1023"/>
      <c r="R68" s="1023"/>
      <c r="S68" s="1023"/>
    </row>
    <row r="69" spans="1:19" hidden="1">
      <c r="A69" s="1058">
        <f t="shared" si="4"/>
        <v>2.5299999999999887</v>
      </c>
      <c r="B69" s="1023"/>
      <c r="C69" s="1035">
        <f t="shared" si="0"/>
        <v>0</v>
      </c>
      <c r="D69" s="1035">
        <f t="shared" si="1"/>
        <v>0</v>
      </c>
      <c r="E69" s="1035"/>
      <c r="F69" s="1035"/>
      <c r="G69" s="1035">
        <f t="shared" si="2"/>
        <v>0</v>
      </c>
      <c r="H69" s="1035"/>
      <c r="I69" s="1035">
        <f t="shared" si="5"/>
        <v>0</v>
      </c>
      <c r="J69" s="1035">
        <f t="shared" si="5"/>
        <v>0</v>
      </c>
      <c r="K69" s="1035">
        <f t="shared" si="5"/>
        <v>0</v>
      </c>
      <c r="L69" s="1035"/>
      <c r="M69" s="1023"/>
      <c r="N69" s="1023"/>
      <c r="O69" s="1023"/>
      <c r="P69" s="1035"/>
      <c r="Q69" s="1023"/>
      <c r="R69" s="1023"/>
      <c r="S69" s="1023"/>
    </row>
    <row r="70" spans="1:19" hidden="1">
      <c r="A70" s="1058">
        <f t="shared" si="4"/>
        <v>2.5399999999999885</v>
      </c>
      <c r="B70" s="1023"/>
      <c r="C70" s="1035">
        <f t="shared" si="0"/>
        <v>0</v>
      </c>
      <c r="D70" s="1035">
        <f t="shared" si="1"/>
        <v>0</v>
      </c>
      <c r="E70" s="1035"/>
      <c r="F70" s="1035"/>
      <c r="G70" s="1035">
        <f t="shared" si="2"/>
        <v>0</v>
      </c>
      <c r="H70" s="1035"/>
      <c r="I70" s="1035">
        <f t="shared" si="5"/>
        <v>0</v>
      </c>
      <c r="J70" s="1035">
        <f t="shared" si="5"/>
        <v>0</v>
      </c>
      <c r="K70" s="1035">
        <f t="shared" si="5"/>
        <v>0</v>
      </c>
      <c r="L70" s="1035"/>
      <c r="M70" s="1023"/>
      <c r="N70" s="1023"/>
      <c r="O70" s="1023"/>
      <c r="P70" s="1035"/>
      <c r="Q70" s="1023"/>
      <c r="R70" s="1023"/>
      <c r="S70" s="1023"/>
    </row>
    <row r="71" spans="1:19" hidden="1">
      <c r="A71" s="1058">
        <f t="shared" si="4"/>
        <v>2.5499999999999883</v>
      </c>
      <c r="B71" s="1023"/>
      <c r="C71" s="1035">
        <f t="shared" si="0"/>
        <v>0</v>
      </c>
      <c r="D71" s="1035">
        <f t="shared" si="1"/>
        <v>0</v>
      </c>
      <c r="E71" s="1035"/>
      <c r="F71" s="1035"/>
      <c r="G71" s="1035">
        <f t="shared" si="2"/>
        <v>0</v>
      </c>
      <c r="H71" s="1035"/>
      <c r="I71" s="1035">
        <f t="shared" si="5"/>
        <v>0</v>
      </c>
      <c r="J71" s="1035">
        <f t="shared" si="5"/>
        <v>0</v>
      </c>
      <c r="K71" s="1035">
        <f t="shared" si="5"/>
        <v>0</v>
      </c>
      <c r="L71" s="1035"/>
      <c r="M71" s="1023"/>
      <c r="N71" s="1023"/>
      <c r="O71" s="1023"/>
      <c r="P71" s="1035"/>
      <c r="Q71" s="1023"/>
      <c r="R71" s="1023"/>
      <c r="S71" s="1023"/>
    </row>
    <row r="72" spans="1:19" hidden="1">
      <c r="A72" s="1058">
        <f t="shared" si="4"/>
        <v>2.5599999999999881</v>
      </c>
      <c r="B72" s="1023"/>
      <c r="C72" s="1035">
        <f t="shared" si="0"/>
        <v>0</v>
      </c>
      <c r="D72" s="1035">
        <f t="shared" si="1"/>
        <v>0</v>
      </c>
      <c r="E72" s="1035"/>
      <c r="F72" s="1035"/>
      <c r="G72" s="1035">
        <f t="shared" si="2"/>
        <v>0</v>
      </c>
      <c r="H72" s="1035"/>
      <c r="I72" s="1035">
        <f t="shared" si="5"/>
        <v>0</v>
      </c>
      <c r="J72" s="1035">
        <f t="shared" si="5"/>
        <v>0</v>
      </c>
      <c r="K72" s="1035">
        <f t="shared" si="5"/>
        <v>0</v>
      </c>
      <c r="L72" s="1035"/>
      <c r="M72" s="1023"/>
      <c r="N72" s="1023"/>
      <c r="O72" s="1023"/>
      <c r="P72" s="1035"/>
      <c r="Q72" s="1023"/>
      <c r="R72" s="1023"/>
      <c r="S72" s="1023"/>
    </row>
    <row r="73" spans="1:19" hidden="1">
      <c r="A73" s="1058">
        <f t="shared" si="4"/>
        <v>2.5699999999999878</v>
      </c>
      <c r="B73" s="1023"/>
      <c r="C73" s="1035">
        <f t="shared" si="0"/>
        <v>0</v>
      </c>
      <c r="D73" s="1035">
        <f t="shared" si="1"/>
        <v>0</v>
      </c>
      <c r="E73" s="1035"/>
      <c r="F73" s="1035"/>
      <c r="G73" s="1035">
        <f t="shared" si="2"/>
        <v>0</v>
      </c>
      <c r="H73" s="1035"/>
      <c r="I73" s="1035">
        <f t="shared" si="5"/>
        <v>0</v>
      </c>
      <c r="J73" s="1035">
        <f t="shared" si="5"/>
        <v>0</v>
      </c>
      <c r="K73" s="1035">
        <f t="shared" si="5"/>
        <v>0</v>
      </c>
      <c r="L73" s="1035"/>
      <c r="M73" s="1023"/>
      <c r="N73" s="1023"/>
      <c r="O73" s="1023"/>
      <c r="P73" s="1035"/>
      <c r="Q73" s="1023"/>
      <c r="R73" s="1023"/>
      <c r="S73" s="1023"/>
    </row>
    <row r="74" spans="1:19" hidden="1">
      <c r="A74" s="1058">
        <f t="shared" si="4"/>
        <v>2.5799999999999876</v>
      </c>
      <c r="B74" s="1023"/>
      <c r="C74" s="1035">
        <f t="shared" si="0"/>
        <v>0</v>
      </c>
      <c r="D74" s="1035">
        <f t="shared" si="1"/>
        <v>0</v>
      </c>
      <c r="E74" s="1035"/>
      <c r="F74" s="1035"/>
      <c r="G74" s="1035">
        <f t="shared" si="2"/>
        <v>0</v>
      </c>
      <c r="H74" s="1035"/>
      <c r="I74" s="1035">
        <f t="shared" si="5"/>
        <v>0</v>
      </c>
      <c r="J74" s="1035">
        <f t="shared" si="5"/>
        <v>0</v>
      </c>
      <c r="K74" s="1035">
        <f t="shared" si="5"/>
        <v>0</v>
      </c>
      <c r="L74" s="1035"/>
      <c r="M74" s="1023"/>
      <c r="N74" s="1023"/>
      <c r="O74" s="1023"/>
      <c r="P74" s="1035"/>
      <c r="Q74" s="1023"/>
      <c r="R74" s="1023"/>
      <c r="S74" s="1023"/>
    </row>
    <row r="75" spans="1:19" hidden="1">
      <c r="A75" s="1058">
        <f t="shared" si="4"/>
        <v>2.5899999999999874</v>
      </c>
      <c r="B75" s="1023"/>
      <c r="C75" s="1035">
        <f t="shared" si="0"/>
        <v>0</v>
      </c>
      <c r="D75" s="1035">
        <f t="shared" si="1"/>
        <v>0</v>
      </c>
      <c r="E75" s="1035"/>
      <c r="F75" s="1035"/>
      <c r="G75" s="1035">
        <f t="shared" si="2"/>
        <v>0</v>
      </c>
      <c r="H75" s="1035"/>
      <c r="I75" s="1035">
        <f t="shared" si="5"/>
        <v>0</v>
      </c>
      <c r="J75" s="1035">
        <f t="shared" si="5"/>
        <v>0</v>
      </c>
      <c r="K75" s="1035">
        <f t="shared" si="5"/>
        <v>0</v>
      </c>
      <c r="L75" s="1035"/>
      <c r="M75" s="1023"/>
      <c r="N75" s="1023"/>
      <c r="O75" s="1023"/>
      <c r="P75" s="1035"/>
      <c r="Q75" s="1023"/>
      <c r="R75" s="1023"/>
      <c r="S75" s="1023"/>
    </row>
    <row r="76" spans="1:19" hidden="1">
      <c r="A76" s="1058">
        <f t="shared" si="4"/>
        <v>2.5999999999999872</v>
      </c>
      <c r="B76" s="1023"/>
      <c r="C76" s="1035">
        <f t="shared" si="0"/>
        <v>0</v>
      </c>
      <c r="D76" s="1035">
        <f t="shared" si="1"/>
        <v>0</v>
      </c>
      <c r="E76" s="1035"/>
      <c r="F76" s="1035"/>
      <c r="G76" s="1035">
        <f t="shared" si="2"/>
        <v>0</v>
      </c>
      <c r="H76" s="1035"/>
      <c r="I76" s="1035">
        <f t="shared" si="5"/>
        <v>0</v>
      </c>
      <c r="J76" s="1035">
        <f t="shared" si="5"/>
        <v>0</v>
      </c>
      <c r="K76" s="1035">
        <f t="shared" si="5"/>
        <v>0</v>
      </c>
      <c r="L76" s="1035"/>
      <c r="M76" s="1023"/>
      <c r="N76" s="1023"/>
      <c r="O76" s="1023"/>
      <c r="P76" s="1035"/>
      <c r="Q76" s="1023"/>
      <c r="R76" s="1023"/>
      <c r="S76" s="1023"/>
    </row>
    <row r="77" spans="1:19" hidden="1">
      <c r="A77" s="1058">
        <f t="shared" si="4"/>
        <v>2.609999999999987</v>
      </c>
      <c r="B77" s="1023"/>
      <c r="C77" s="1039">
        <f t="shared" si="0"/>
        <v>0</v>
      </c>
      <c r="D77" s="1039">
        <f t="shared" si="1"/>
        <v>0</v>
      </c>
      <c r="E77" s="1039"/>
      <c r="F77" s="1039"/>
      <c r="G77" s="1039">
        <f t="shared" si="2"/>
        <v>0</v>
      </c>
      <c r="H77" s="1039"/>
      <c r="I77" s="1039">
        <f t="shared" si="5"/>
        <v>0</v>
      </c>
      <c r="J77" s="1039">
        <f t="shared" si="5"/>
        <v>0</v>
      </c>
      <c r="K77" s="1039">
        <f t="shared" si="5"/>
        <v>0</v>
      </c>
      <c r="L77" s="1039"/>
      <c r="M77" s="1023"/>
      <c r="N77" s="1023"/>
      <c r="O77" s="1023"/>
      <c r="P77" s="1039"/>
      <c r="Q77" s="1023"/>
      <c r="R77" s="1023"/>
      <c r="S77" s="1023"/>
    </row>
    <row r="78" spans="1:19" hidden="1">
      <c r="A78" s="1058">
        <f t="shared" si="4"/>
        <v>2.6199999999999868</v>
      </c>
      <c r="B78" s="1023"/>
      <c r="C78" s="1039">
        <f t="shared" si="0"/>
        <v>0</v>
      </c>
      <c r="D78" s="1039">
        <f t="shared" si="1"/>
        <v>0</v>
      </c>
      <c r="E78" s="1039"/>
      <c r="F78" s="1039"/>
      <c r="G78" s="1039">
        <f t="shared" si="2"/>
        <v>0</v>
      </c>
      <c r="H78" s="1039"/>
      <c r="I78" s="1039">
        <f t="shared" si="5"/>
        <v>0</v>
      </c>
      <c r="J78" s="1039">
        <f t="shared" si="5"/>
        <v>0</v>
      </c>
      <c r="K78" s="1039">
        <f t="shared" si="5"/>
        <v>0</v>
      </c>
      <c r="L78" s="1039"/>
      <c r="M78" s="1023"/>
      <c r="N78" s="1023"/>
      <c r="O78" s="1023"/>
      <c r="P78" s="1039"/>
      <c r="Q78" s="1023"/>
      <c r="R78" s="1023"/>
      <c r="S78" s="1023"/>
    </row>
    <row r="79" spans="1:19" hidden="1">
      <c r="A79" s="1058">
        <f t="shared" si="4"/>
        <v>2.6299999999999866</v>
      </c>
      <c r="B79" s="1023"/>
      <c r="C79" s="1035">
        <f t="shared" si="0"/>
        <v>0</v>
      </c>
      <c r="D79" s="1035">
        <f t="shared" si="1"/>
        <v>0</v>
      </c>
      <c r="E79" s="1035"/>
      <c r="F79" s="1035"/>
      <c r="G79" s="1035">
        <f t="shared" si="2"/>
        <v>0</v>
      </c>
      <c r="H79" s="1035"/>
      <c r="I79" s="1035">
        <f t="shared" si="5"/>
        <v>0</v>
      </c>
      <c r="J79" s="1035">
        <f t="shared" si="5"/>
        <v>0</v>
      </c>
      <c r="K79" s="1035">
        <f t="shared" si="5"/>
        <v>0</v>
      </c>
      <c r="L79" s="1035"/>
      <c r="M79" s="1023"/>
      <c r="N79" s="1023"/>
      <c r="O79" s="1023"/>
      <c r="P79" s="1035"/>
      <c r="Q79" s="1023"/>
      <c r="R79" s="1023"/>
      <c r="S79" s="1023"/>
    </row>
    <row r="80" spans="1:19" hidden="1">
      <c r="A80" s="1058">
        <f t="shared" si="4"/>
        <v>2.6399999999999864</v>
      </c>
      <c r="B80" s="1023"/>
      <c r="C80" s="1035">
        <f t="shared" si="0"/>
        <v>0</v>
      </c>
      <c r="D80" s="1035">
        <f t="shared" si="1"/>
        <v>0</v>
      </c>
      <c r="E80" s="1035"/>
      <c r="F80" s="1035"/>
      <c r="G80" s="1035">
        <f t="shared" si="2"/>
        <v>0</v>
      </c>
      <c r="H80" s="1035"/>
      <c r="I80" s="1035">
        <f t="shared" si="5"/>
        <v>0</v>
      </c>
      <c r="J80" s="1035">
        <f t="shared" si="5"/>
        <v>0</v>
      </c>
      <c r="K80" s="1035">
        <f t="shared" si="5"/>
        <v>0</v>
      </c>
      <c r="L80" s="1035"/>
      <c r="M80" s="1023"/>
      <c r="N80" s="1023"/>
      <c r="O80" s="1023"/>
      <c r="P80" s="1035"/>
      <c r="Q80" s="1023"/>
      <c r="R80" s="1023"/>
      <c r="S80" s="1023"/>
    </row>
    <row r="81" spans="1:19" hidden="1">
      <c r="A81" s="1058">
        <f t="shared" si="4"/>
        <v>2.6499999999999861</v>
      </c>
      <c r="B81" s="1023"/>
      <c r="C81" s="1035">
        <f t="shared" ref="C81:C95" si="6">SUM(M81:O81)</f>
        <v>0</v>
      </c>
      <c r="D81" s="1035">
        <f t="shared" ref="D81:D95" si="7">SUM(Q81:S81)</f>
        <v>0</v>
      </c>
      <c r="E81" s="1035"/>
      <c r="F81" s="1035"/>
      <c r="G81" s="1035">
        <f t="shared" ref="G81:G107" si="8">ROUND(SUM(C81:F81)/2,0)</f>
        <v>0</v>
      </c>
      <c r="H81" s="1035"/>
      <c r="I81" s="1035">
        <f t="shared" ref="I81:K95" si="9">(M81+Q81)/2</f>
        <v>0</v>
      </c>
      <c r="J81" s="1035">
        <f t="shared" si="9"/>
        <v>0</v>
      </c>
      <c r="K81" s="1035">
        <f t="shared" si="9"/>
        <v>0</v>
      </c>
      <c r="L81" s="1035"/>
      <c r="M81" s="1023"/>
      <c r="N81" s="1023"/>
      <c r="O81" s="1023"/>
      <c r="P81" s="1035"/>
      <c r="Q81" s="1023"/>
      <c r="R81" s="1023"/>
      <c r="S81" s="1023"/>
    </row>
    <row r="82" spans="1:19" hidden="1">
      <c r="A82" s="1058">
        <f t="shared" si="4"/>
        <v>2.6599999999999859</v>
      </c>
      <c r="B82" s="1023"/>
      <c r="C82" s="1035">
        <f t="shared" si="6"/>
        <v>0</v>
      </c>
      <c r="D82" s="1035">
        <f t="shared" si="7"/>
        <v>0</v>
      </c>
      <c r="E82" s="1035"/>
      <c r="F82" s="1035"/>
      <c r="G82" s="1035">
        <f t="shared" si="8"/>
        <v>0</v>
      </c>
      <c r="H82" s="1035"/>
      <c r="I82" s="1035">
        <f t="shared" si="9"/>
        <v>0</v>
      </c>
      <c r="J82" s="1035">
        <f t="shared" si="9"/>
        <v>0</v>
      </c>
      <c r="K82" s="1035">
        <f t="shared" si="9"/>
        <v>0</v>
      </c>
      <c r="L82" s="1035"/>
      <c r="M82" s="1023"/>
      <c r="N82" s="1023"/>
      <c r="O82" s="1023"/>
      <c r="P82" s="1035"/>
      <c r="Q82" s="1023"/>
      <c r="R82" s="1023"/>
      <c r="S82" s="1023"/>
    </row>
    <row r="83" spans="1:19" hidden="1">
      <c r="A83" s="1058">
        <f t="shared" ref="A83:A107" si="10">A82+0.01</f>
        <v>2.6699999999999857</v>
      </c>
      <c r="B83" s="1023"/>
      <c r="C83" s="1035">
        <f t="shared" si="6"/>
        <v>0</v>
      </c>
      <c r="D83" s="1035">
        <f t="shared" si="7"/>
        <v>0</v>
      </c>
      <c r="E83" s="1035"/>
      <c r="F83" s="1035"/>
      <c r="G83" s="1035">
        <f t="shared" si="8"/>
        <v>0</v>
      </c>
      <c r="H83" s="1035"/>
      <c r="I83" s="1035">
        <f t="shared" si="9"/>
        <v>0</v>
      </c>
      <c r="J83" s="1035">
        <f t="shared" si="9"/>
        <v>0</v>
      </c>
      <c r="K83" s="1035">
        <f t="shared" si="9"/>
        <v>0</v>
      </c>
      <c r="L83" s="1035"/>
      <c r="M83" s="1023"/>
      <c r="N83" s="1023"/>
      <c r="O83" s="1023"/>
      <c r="P83" s="1035"/>
      <c r="Q83" s="1023"/>
      <c r="R83" s="1023"/>
      <c r="S83" s="1023"/>
    </row>
    <row r="84" spans="1:19" hidden="1">
      <c r="A84" s="1058">
        <f t="shared" si="10"/>
        <v>2.6799999999999855</v>
      </c>
      <c r="B84" s="1023"/>
      <c r="C84" s="1035">
        <f t="shared" si="6"/>
        <v>0</v>
      </c>
      <c r="D84" s="1035">
        <f t="shared" si="7"/>
        <v>0</v>
      </c>
      <c r="E84" s="1035"/>
      <c r="F84" s="1035"/>
      <c r="G84" s="1035">
        <f t="shared" si="8"/>
        <v>0</v>
      </c>
      <c r="H84" s="1035"/>
      <c r="I84" s="1035">
        <f t="shared" si="9"/>
        <v>0</v>
      </c>
      <c r="J84" s="1035">
        <f t="shared" si="9"/>
        <v>0</v>
      </c>
      <c r="K84" s="1035">
        <f t="shared" si="9"/>
        <v>0</v>
      </c>
      <c r="L84" s="1035"/>
      <c r="M84" s="1023"/>
      <c r="N84" s="1023"/>
      <c r="O84" s="1023"/>
      <c r="P84" s="1035"/>
      <c r="Q84" s="1023"/>
      <c r="R84" s="1023"/>
      <c r="S84" s="1023"/>
    </row>
    <row r="85" spans="1:19" hidden="1">
      <c r="A85" s="1058">
        <f t="shared" si="10"/>
        <v>2.6899999999999853</v>
      </c>
      <c r="B85" s="1023"/>
      <c r="C85" s="1035">
        <f t="shared" si="6"/>
        <v>0</v>
      </c>
      <c r="D85" s="1035">
        <f t="shared" si="7"/>
        <v>0</v>
      </c>
      <c r="E85" s="1035"/>
      <c r="F85" s="1035"/>
      <c r="G85" s="1035">
        <f t="shared" si="8"/>
        <v>0</v>
      </c>
      <c r="H85" s="1035"/>
      <c r="I85" s="1035">
        <f t="shared" si="9"/>
        <v>0</v>
      </c>
      <c r="J85" s="1035">
        <f t="shared" si="9"/>
        <v>0</v>
      </c>
      <c r="K85" s="1035">
        <f t="shared" si="9"/>
        <v>0</v>
      </c>
      <c r="L85" s="1035"/>
      <c r="M85" s="1023"/>
      <c r="N85" s="1023"/>
      <c r="O85" s="1023"/>
      <c r="P85" s="1035"/>
      <c r="Q85" s="1023"/>
      <c r="R85" s="1023"/>
      <c r="S85" s="1023"/>
    </row>
    <row r="86" spans="1:19" hidden="1">
      <c r="A86" s="1058">
        <f t="shared" si="10"/>
        <v>2.6999999999999851</v>
      </c>
      <c r="B86" s="1023"/>
      <c r="C86" s="1035">
        <f t="shared" si="6"/>
        <v>0</v>
      </c>
      <c r="D86" s="1035">
        <f t="shared" si="7"/>
        <v>0</v>
      </c>
      <c r="E86" s="1035"/>
      <c r="F86" s="1035"/>
      <c r="G86" s="1035">
        <f t="shared" si="8"/>
        <v>0</v>
      </c>
      <c r="H86" s="1035"/>
      <c r="I86" s="1035">
        <f t="shared" si="9"/>
        <v>0</v>
      </c>
      <c r="J86" s="1035">
        <f t="shared" si="9"/>
        <v>0</v>
      </c>
      <c r="K86" s="1035">
        <f t="shared" si="9"/>
        <v>0</v>
      </c>
      <c r="L86" s="1035"/>
      <c r="M86" s="1023"/>
      <c r="N86" s="1023"/>
      <c r="O86" s="1023"/>
      <c r="P86" s="1035"/>
      <c r="Q86" s="1023"/>
      <c r="R86" s="1023"/>
      <c r="S86" s="1023"/>
    </row>
    <row r="87" spans="1:19" hidden="1">
      <c r="A87" s="1058">
        <f t="shared" si="10"/>
        <v>2.7099999999999849</v>
      </c>
      <c r="B87" s="1023"/>
      <c r="C87" s="1035">
        <f t="shared" si="6"/>
        <v>0</v>
      </c>
      <c r="D87" s="1035">
        <f t="shared" si="7"/>
        <v>0</v>
      </c>
      <c r="E87" s="1035"/>
      <c r="F87" s="1035"/>
      <c r="G87" s="1035">
        <f t="shared" si="8"/>
        <v>0</v>
      </c>
      <c r="H87" s="1035"/>
      <c r="I87" s="1035">
        <f t="shared" si="9"/>
        <v>0</v>
      </c>
      <c r="J87" s="1035">
        <f t="shared" si="9"/>
        <v>0</v>
      </c>
      <c r="K87" s="1035">
        <f t="shared" si="9"/>
        <v>0</v>
      </c>
      <c r="L87" s="1035"/>
      <c r="M87" s="1023"/>
      <c r="N87" s="1023"/>
      <c r="O87" s="1023"/>
      <c r="P87" s="1035"/>
      <c r="Q87" s="1023"/>
      <c r="R87" s="1023"/>
      <c r="S87" s="1023"/>
    </row>
    <row r="88" spans="1:19" hidden="1">
      <c r="A88" s="1058">
        <f t="shared" si="10"/>
        <v>2.7199999999999847</v>
      </c>
      <c r="B88" s="1023"/>
      <c r="C88" s="1035">
        <f t="shared" si="6"/>
        <v>0</v>
      </c>
      <c r="D88" s="1035">
        <f t="shared" si="7"/>
        <v>0</v>
      </c>
      <c r="E88" s="1035"/>
      <c r="F88" s="1035"/>
      <c r="G88" s="1035">
        <f t="shared" si="8"/>
        <v>0</v>
      </c>
      <c r="H88" s="1035"/>
      <c r="I88" s="1035">
        <f t="shared" si="9"/>
        <v>0</v>
      </c>
      <c r="J88" s="1035">
        <f t="shared" si="9"/>
        <v>0</v>
      </c>
      <c r="K88" s="1035">
        <f t="shared" si="9"/>
        <v>0</v>
      </c>
      <c r="L88" s="1035"/>
      <c r="M88" s="1023"/>
      <c r="N88" s="1023"/>
      <c r="O88" s="1023"/>
      <c r="P88" s="1035"/>
      <c r="Q88" s="1023"/>
      <c r="R88" s="1023"/>
      <c r="S88" s="1023"/>
    </row>
    <row r="89" spans="1:19" hidden="1">
      <c r="A89" s="1058">
        <f t="shared" si="10"/>
        <v>2.7299999999999844</v>
      </c>
      <c r="B89" s="1023"/>
      <c r="C89" s="1035">
        <f t="shared" si="6"/>
        <v>0</v>
      </c>
      <c r="D89" s="1035">
        <f t="shared" si="7"/>
        <v>0</v>
      </c>
      <c r="E89" s="1035"/>
      <c r="F89" s="1035"/>
      <c r="G89" s="1035">
        <f t="shared" si="8"/>
        <v>0</v>
      </c>
      <c r="H89" s="1035"/>
      <c r="I89" s="1035">
        <f t="shared" si="9"/>
        <v>0</v>
      </c>
      <c r="J89" s="1035">
        <f t="shared" si="9"/>
        <v>0</v>
      </c>
      <c r="K89" s="1035">
        <f t="shared" si="9"/>
        <v>0</v>
      </c>
      <c r="L89" s="1035"/>
      <c r="M89" s="1023"/>
      <c r="N89" s="1023"/>
      <c r="O89" s="1023"/>
      <c r="P89" s="1035"/>
      <c r="Q89" s="1023"/>
      <c r="R89" s="1023"/>
      <c r="S89" s="1023"/>
    </row>
    <row r="90" spans="1:19" hidden="1">
      <c r="A90" s="1058">
        <f t="shared" si="10"/>
        <v>2.7399999999999842</v>
      </c>
      <c r="B90" s="1023"/>
      <c r="C90" s="1035">
        <f t="shared" si="6"/>
        <v>0</v>
      </c>
      <c r="D90" s="1035">
        <f t="shared" si="7"/>
        <v>0</v>
      </c>
      <c r="E90" s="1035"/>
      <c r="F90" s="1035"/>
      <c r="G90" s="1035">
        <f t="shared" si="8"/>
        <v>0</v>
      </c>
      <c r="H90" s="1035"/>
      <c r="I90" s="1035">
        <f t="shared" si="9"/>
        <v>0</v>
      </c>
      <c r="J90" s="1035">
        <f t="shared" si="9"/>
        <v>0</v>
      </c>
      <c r="K90" s="1035">
        <f t="shared" si="9"/>
        <v>0</v>
      </c>
      <c r="L90" s="1035"/>
      <c r="M90" s="1023"/>
      <c r="N90" s="1023"/>
      <c r="O90" s="1023"/>
      <c r="P90" s="1035"/>
      <c r="Q90" s="1023"/>
      <c r="R90" s="1023"/>
      <c r="S90" s="1023"/>
    </row>
    <row r="91" spans="1:19" hidden="1">
      <c r="A91" s="1058">
        <f t="shared" si="10"/>
        <v>2.749999999999984</v>
      </c>
      <c r="B91" s="1023"/>
      <c r="C91" s="1035">
        <f t="shared" si="6"/>
        <v>0</v>
      </c>
      <c r="D91" s="1035">
        <f t="shared" si="7"/>
        <v>0</v>
      </c>
      <c r="E91" s="1035"/>
      <c r="F91" s="1035"/>
      <c r="G91" s="1035">
        <f t="shared" si="8"/>
        <v>0</v>
      </c>
      <c r="H91" s="1035"/>
      <c r="I91" s="1035">
        <f t="shared" si="9"/>
        <v>0</v>
      </c>
      <c r="J91" s="1035">
        <f t="shared" si="9"/>
        <v>0</v>
      </c>
      <c r="K91" s="1035">
        <f t="shared" si="9"/>
        <v>0</v>
      </c>
      <c r="L91" s="1035"/>
      <c r="M91" s="1023"/>
      <c r="N91" s="1023"/>
      <c r="O91" s="1023"/>
      <c r="P91" s="1035"/>
      <c r="Q91" s="1023"/>
      <c r="R91" s="1023"/>
      <c r="S91" s="1023"/>
    </row>
    <row r="92" spans="1:19" hidden="1">
      <c r="A92" s="1058">
        <f t="shared" si="10"/>
        <v>2.7599999999999838</v>
      </c>
      <c r="B92" s="1023"/>
      <c r="C92" s="1035">
        <f t="shared" si="6"/>
        <v>0</v>
      </c>
      <c r="D92" s="1035">
        <f t="shared" si="7"/>
        <v>0</v>
      </c>
      <c r="E92" s="1035"/>
      <c r="F92" s="1035"/>
      <c r="G92" s="1035">
        <f t="shared" si="8"/>
        <v>0</v>
      </c>
      <c r="H92" s="1035"/>
      <c r="I92" s="1035">
        <f t="shared" si="9"/>
        <v>0</v>
      </c>
      <c r="J92" s="1035">
        <f t="shared" si="9"/>
        <v>0</v>
      </c>
      <c r="K92" s="1035">
        <f t="shared" si="9"/>
        <v>0</v>
      </c>
      <c r="L92" s="1035"/>
      <c r="M92" s="1023"/>
      <c r="N92" s="1023"/>
      <c r="O92" s="1023"/>
      <c r="P92" s="1035"/>
      <c r="Q92" s="1023"/>
      <c r="R92" s="1023"/>
      <c r="S92" s="1023"/>
    </row>
    <row r="93" spans="1:19" hidden="1">
      <c r="A93" s="1058">
        <f t="shared" si="10"/>
        <v>2.7699999999999836</v>
      </c>
      <c r="B93" s="1023"/>
      <c r="C93" s="1035">
        <f t="shared" si="6"/>
        <v>0</v>
      </c>
      <c r="D93" s="1035">
        <f t="shared" si="7"/>
        <v>0</v>
      </c>
      <c r="E93" s="1035"/>
      <c r="F93" s="1035"/>
      <c r="G93" s="1035">
        <f t="shared" si="8"/>
        <v>0</v>
      </c>
      <c r="H93" s="1035"/>
      <c r="I93" s="1035">
        <f t="shared" si="9"/>
        <v>0</v>
      </c>
      <c r="J93" s="1035">
        <f t="shared" si="9"/>
        <v>0</v>
      </c>
      <c r="K93" s="1035">
        <f t="shared" si="9"/>
        <v>0</v>
      </c>
      <c r="L93" s="1035"/>
      <c r="M93" s="1023"/>
      <c r="N93" s="1023"/>
      <c r="O93" s="1023"/>
      <c r="P93" s="1035"/>
      <c r="Q93" s="1023"/>
      <c r="R93" s="1023"/>
      <c r="S93" s="1023"/>
    </row>
    <row r="94" spans="1:19" hidden="1">
      <c r="A94" s="1058">
        <f t="shared" si="10"/>
        <v>2.7799999999999834</v>
      </c>
      <c r="B94" s="1023"/>
      <c r="C94" s="1035">
        <f t="shared" si="6"/>
        <v>0</v>
      </c>
      <c r="D94" s="1035">
        <f t="shared" si="7"/>
        <v>0</v>
      </c>
      <c r="E94" s="1035"/>
      <c r="F94" s="1035"/>
      <c r="G94" s="1035">
        <f t="shared" si="8"/>
        <v>0</v>
      </c>
      <c r="H94" s="1035"/>
      <c r="I94" s="1035">
        <f t="shared" si="9"/>
        <v>0</v>
      </c>
      <c r="J94" s="1035">
        <f t="shared" si="9"/>
        <v>0</v>
      </c>
      <c r="K94" s="1035">
        <f t="shared" si="9"/>
        <v>0</v>
      </c>
      <c r="L94" s="1035"/>
      <c r="M94" s="1023"/>
      <c r="N94" s="1023"/>
      <c r="O94" s="1023"/>
      <c r="P94" s="1035"/>
      <c r="Q94" s="1023"/>
      <c r="R94" s="1023"/>
      <c r="S94" s="1023"/>
    </row>
    <row r="95" spans="1:19" hidden="1">
      <c r="A95" s="1058">
        <f t="shared" si="10"/>
        <v>2.7899999999999832</v>
      </c>
      <c r="B95" s="1023"/>
      <c r="C95" s="1035">
        <f t="shared" si="6"/>
        <v>0</v>
      </c>
      <c r="D95" s="1035">
        <f t="shared" si="7"/>
        <v>0</v>
      </c>
      <c r="E95" s="1035"/>
      <c r="F95" s="1035"/>
      <c r="G95" s="1035">
        <f t="shared" si="8"/>
        <v>0</v>
      </c>
      <c r="H95" s="1035"/>
      <c r="I95" s="1035">
        <f t="shared" si="9"/>
        <v>0</v>
      </c>
      <c r="J95" s="1035">
        <f t="shared" si="9"/>
        <v>0</v>
      </c>
      <c r="K95" s="1035">
        <f t="shared" si="9"/>
        <v>0</v>
      </c>
      <c r="L95" s="1035"/>
      <c r="M95" s="1023"/>
      <c r="N95" s="1023"/>
      <c r="O95" s="1023"/>
      <c r="P95" s="1035"/>
      <c r="Q95" s="1023"/>
      <c r="R95" s="1023"/>
      <c r="S95" s="1023"/>
    </row>
    <row r="96" spans="1:19">
      <c r="A96" s="1058">
        <f t="shared" si="10"/>
        <v>2.7999999999999829</v>
      </c>
      <c r="B96" s="1023"/>
      <c r="C96" s="1023"/>
      <c r="D96" s="1023"/>
      <c r="E96" s="1035">
        <f t="shared" ref="E96:F106" si="11">-C96</f>
        <v>0</v>
      </c>
      <c r="F96" s="1035">
        <f t="shared" si="11"/>
        <v>0</v>
      </c>
      <c r="G96" s="1035">
        <f t="shared" si="8"/>
        <v>0</v>
      </c>
      <c r="H96" s="1035"/>
      <c r="I96" s="1035"/>
      <c r="J96" s="1035"/>
      <c r="K96" s="1035"/>
      <c r="L96" s="1035"/>
      <c r="M96" s="1035"/>
      <c r="N96" s="1035"/>
      <c r="O96" s="1035"/>
      <c r="P96" s="1035"/>
      <c r="Q96" s="1035"/>
      <c r="R96" s="1035"/>
      <c r="S96" s="1035"/>
    </row>
    <row r="97" spans="1:256">
      <c r="A97" s="1058">
        <f t="shared" si="10"/>
        <v>2.8099999999999827</v>
      </c>
      <c r="B97" s="1023"/>
      <c r="C97" s="1023"/>
      <c r="D97" s="1023"/>
      <c r="E97" s="1035">
        <f t="shared" si="11"/>
        <v>0</v>
      </c>
      <c r="F97" s="1035">
        <f t="shared" si="11"/>
        <v>0</v>
      </c>
      <c r="G97" s="1035">
        <f t="shared" si="8"/>
        <v>0</v>
      </c>
      <c r="H97" s="1035"/>
      <c r="I97" s="1035"/>
      <c r="J97" s="1035"/>
      <c r="K97" s="1035"/>
      <c r="L97" s="1035"/>
      <c r="M97" s="1035"/>
      <c r="N97" s="1035"/>
      <c r="O97" s="1035"/>
      <c r="P97" s="1035"/>
      <c r="Q97" s="1035"/>
      <c r="R97" s="1035"/>
      <c r="S97" s="1035"/>
    </row>
    <row r="98" spans="1:256">
      <c r="A98" s="1058">
        <f t="shared" si="10"/>
        <v>2.8199999999999825</v>
      </c>
      <c r="B98" s="1023"/>
      <c r="C98" s="1023"/>
      <c r="D98" s="1023"/>
      <c r="E98" s="1035">
        <f t="shared" si="11"/>
        <v>0</v>
      </c>
      <c r="F98" s="1035">
        <f t="shared" si="11"/>
        <v>0</v>
      </c>
      <c r="G98" s="1035">
        <f t="shared" si="8"/>
        <v>0</v>
      </c>
      <c r="H98" s="1035"/>
      <c r="I98" s="1035"/>
      <c r="J98" s="1035"/>
      <c r="K98" s="1035"/>
      <c r="L98" s="1035"/>
      <c r="M98" s="1035"/>
      <c r="N98" s="1035"/>
      <c r="O98" s="1035"/>
      <c r="P98" s="1035"/>
      <c r="Q98" s="1035"/>
      <c r="R98" s="1035"/>
      <c r="S98" s="1035"/>
    </row>
    <row r="99" spans="1:256">
      <c r="A99" s="1058">
        <f t="shared" si="10"/>
        <v>2.8299999999999823</v>
      </c>
      <c r="B99" s="1023"/>
      <c r="C99" s="1023"/>
      <c r="D99" s="1023"/>
      <c r="E99" s="1035">
        <f t="shared" si="11"/>
        <v>0</v>
      </c>
      <c r="F99" s="1035">
        <f t="shared" si="11"/>
        <v>0</v>
      </c>
      <c r="G99" s="1035">
        <f t="shared" si="8"/>
        <v>0</v>
      </c>
      <c r="H99" s="1035"/>
      <c r="I99" s="1035"/>
      <c r="J99" s="1035"/>
      <c r="K99" s="1035"/>
      <c r="L99" s="1035"/>
      <c r="M99" s="1035"/>
      <c r="N99" s="1035"/>
      <c r="O99" s="1035"/>
      <c r="P99" s="1035"/>
      <c r="Q99" s="1035"/>
      <c r="R99" s="1035"/>
      <c r="S99" s="1035"/>
    </row>
    <row r="100" spans="1:256">
      <c r="A100" s="1058">
        <f t="shared" si="10"/>
        <v>2.8399999999999821</v>
      </c>
      <c r="B100" s="1023"/>
      <c r="C100" s="1023"/>
      <c r="D100" s="1023"/>
      <c r="E100" s="1035">
        <f t="shared" si="11"/>
        <v>0</v>
      </c>
      <c r="F100" s="1035">
        <f t="shared" si="11"/>
        <v>0</v>
      </c>
      <c r="G100" s="1035">
        <f t="shared" si="8"/>
        <v>0</v>
      </c>
      <c r="H100" s="1035"/>
      <c r="I100" s="1035"/>
      <c r="J100" s="1035"/>
      <c r="K100" s="1035"/>
      <c r="L100" s="1035"/>
      <c r="M100" s="1035"/>
      <c r="N100" s="1035"/>
      <c r="O100" s="1035"/>
      <c r="P100" s="1035"/>
      <c r="Q100" s="1035"/>
      <c r="R100" s="1035"/>
      <c r="S100" s="1035"/>
    </row>
    <row r="101" spans="1:256">
      <c r="A101" s="1058">
        <f t="shared" si="10"/>
        <v>2.8499999999999819</v>
      </c>
      <c r="B101" s="1023"/>
      <c r="C101" s="1023"/>
      <c r="D101" s="1023"/>
      <c r="E101" s="1035">
        <f t="shared" si="11"/>
        <v>0</v>
      </c>
      <c r="F101" s="1035">
        <f t="shared" si="11"/>
        <v>0</v>
      </c>
      <c r="G101" s="1035">
        <f t="shared" si="8"/>
        <v>0</v>
      </c>
      <c r="H101" s="1035"/>
      <c r="I101" s="1035"/>
      <c r="J101" s="1035"/>
      <c r="K101" s="1035"/>
      <c r="L101" s="1035"/>
      <c r="M101" s="1035"/>
      <c r="N101" s="1035"/>
      <c r="O101" s="1035"/>
      <c r="P101" s="1035"/>
      <c r="Q101" s="1035"/>
      <c r="R101" s="1035"/>
      <c r="S101" s="1035"/>
    </row>
    <row r="102" spans="1:256">
      <c r="A102" s="1058">
        <f t="shared" si="10"/>
        <v>2.8599999999999817</v>
      </c>
      <c r="B102" s="1023"/>
      <c r="C102" s="1023"/>
      <c r="D102" s="1023"/>
      <c r="E102" s="1035">
        <f t="shared" si="11"/>
        <v>0</v>
      </c>
      <c r="F102" s="1035">
        <f t="shared" si="11"/>
        <v>0</v>
      </c>
      <c r="G102" s="1035">
        <f t="shared" si="8"/>
        <v>0</v>
      </c>
      <c r="H102" s="1035"/>
      <c r="I102" s="1035"/>
      <c r="J102" s="1035"/>
      <c r="K102" s="1035"/>
      <c r="L102" s="1035"/>
      <c r="M102" s="1035"/>
      <c r="N102" s="1035"/>
      <c r="O102" s="1035"/>
      <c r="P102" s="1035"/>
      <c r="Q102" s="1035"/>
      <c r="R102" s="1035"/>
      <c r="S102" s="1035"/>
    </row>
    <row r="103" spans="1:256">
      <c r="A103" s="1058">
        <f t="shared" si="10"/>
        <v>2.8699999999999815</v>
      </c>
      <c r="B103" s="1023"/>
      <c r="C103" s="1023"/>
      <c r="D103" s="1023"/>
      <c r="E103" s="1035">
        <f t="shared" si="11"/>
        <v>0</v>
      </c>
      <c r="F103" s="1035">
        <f t="shared" si="11"/>
        <v>0</v>
      </c>
      <c r="G103" s="1035">
        <f t="shared" si="8"/>
        <v>0</v>
      </c>
      <c r="H103" s="1035"/>
      <c r="I103" s="1035"/>
      <c r="J103" s="1035"/>
      <c r="K103" s="1035"/>
      <c r="L103" s="1035"/>
      <c r="M103" s="1035"/>
      <c r="N103" s="1035"/>
      <c r="O103" s="1035"/>
      <c r="P103" s="1035"/>
      <c r="Q103" s="1035"/>
      <c r="R103" s="1035"/>
      <c r="S103" s="1035"/>
    </row>
    <row r="104" spans="1:256">
      <c r="A104" s="1058">
        <f t="shared" si="10"/>
        <v>2.8799999999999812</v>
      </c>
      <c r="B104" s="1023"/>
      <c r="C104" s="1023"/>
      <c r="D104" s="1023"/>
      <c r="E104" s="1035">
        <f t="shared" si="11"/>
        <v>0</v>
      </c>
      <c r="F104" s="1035">
        <f t="shared" si="11"/>
        <v>0</v>
      </c>
      <c r="G104" s="1035">
        <f t="shared" si="8"/>
        <v>0</v>
      </c>
      <c r="H104" s="1035"/>
      <c r="I104" s="1035"/>
      <c r="J104" s="1035"/>
      <c r="K104" s="1035"/>
      <c r="L104" s="1035"/>
      <c r="M104" s="1035"/>
      <c r="N104" s="1035"/>
      <c r="O104" s="1035"/>
      <c r="P104" s="1035"/>
      <c r="Q104" s="1035"/>
      <c r="R104" s="1035"/>
      <c r="S104" s="1035"/>
    </row>
    <row r="105" spans="1:256">
      <c r="A105" s="1058">
        <f t="shared" si="10"/>
        <v>2.889999999999981</v>
      </c>
      <c r="B105" s="1023"/>
      <c r="C105" s="1023"/>
      <c r="D105" s="1023"/>
      <c r="E105" s="1035">
        <f t="shared" si="11"/>
        <v>0</v>
      </c>
      <c r="F105" s="1035">
        <f t="shared" si="11"/>
        <v>0</v>
      </c>
      <c r="G105" s="1035">
        <f t="shared" si="8"/>
        <v>0</v>
      </c>
      <c r="H105" s="1035"/>
      <c r="I105" s="1035"/>
      <c r="J105" s="1035"/>
      <c r="K105" s="1035"/>
      <c r="L105" s="1035"/>
      <c r="M105" s="1035"/>
      <c r="N105" s="1035"/>
      <c r="O105" s="1035"/>
      <c r="P105" s="1035"/>
      <c r="Q105" s="1035"/>
      <c r="R105" s="1035"/>
      <c r="S105" s="1035"/>
    </row>
    <row r="106" spans="1:256">
      <c r="A106" s="1058">
        <f t="shared" si="10"/>
        <v>2.8999999999999808</v>
      </c>
      <c r="B106" s="1023"/>
      <c r="C106" s="1023"/>
      <c r="D106" s="1023"/>
      <c r="E106" s="1035">
        <f t="shared" si="11"/>
        <v>0</v>
      </c>
      <c r="F106" s="1035">
        <f t="shared" si="11"/>
        <v>0</v>
      </c>
      <c r="G106" s="1035">
        <f t="shared" si="8"/>
        <v>0</v>
      </c>
      <c r="H106" s="1035"/>
      <c r="I106" s="1035">
        <f t="shared" ref="I106:K107" si="12">(M106+Q106)/2</f>
        <v>0</v>
      </c>
      <c r="J106" s="1035">
        <f t="shared" si="12"/>
        <v>0</v>
      </c>
      <c r="K106" s="1035">
        <f t="shared" si="12"/>
        <v>0</v>
      </c>
      <c r="L106" s="1035"/>
      <c r="M106" s="1035"/>
      <c r="N106" s="1035"/>
      <c r="O106" s="1035"/>
      <c r="P106" s="1035"/>
      <c r="Q106" s="1035"/>
      <c r="R106" s="1035"/>
      <c r="S106" s="1035"/>
    </row>
    <row r="107" spans="1:256">
      <c r="A107" s="1058">
        <f t="shared" si="10"/>
        <v>2.9099999999999806</v>
      </c>
      <c r="B107" s="1023"/>
      <c r="C107" s="1035">
        <f>SUM(M107:O107)</f>
        <v>0</v>
      </c>
      <c r="D107" s="1035">
        <f>SUM(Q107:S107)</f>
        <v>0</v>
      </c>
      <c r="E107" s="1035"/>
      <c r="F107" s="1035"/>
      <c r="G107" s="1035">
        <f t="shared" si="8"/>
        <v>0</v>
      </c>
      <c r="H107" s="1035"/>
      <c r="I107" s="1035">
        <f t="shared" si="12"/>
        <v>0</v>
      </c>
      <c r="J107" s="1035">
        <f t="shared" si="12"/>
        <v>0</v>
      </c>
      <c r="K107" s="1035">
        <f t="shared" si="12"/>
        <v>0</v>
      </c>
      <c r="L107" s="1035"/>
      <c r="M107" s="1023"/>
      <c r="N107" s="1023"/>
      <c r="O107" s="1023"/>
      <c r="P107" s="1035"/>
      <c r="Q107" s="1023"/>
      <c r="R107" s="1023"/>
      <c r="S107" s="1023"/>
    </row>
    <row r="108" spans="1:256">
      <c r="A108" s="1052"/>
      <c r="B108" s="1035"/>
      <c r="C108" s="1035"/>
      <c r="D108" s="1035"/>
      <c r="E108" s="1035"/>
      <c r="F108" s="1035"/>
      <c r="G108" s="1035"/>
      <c r="H108" s="1035"/>
      <c r="I108" s="1035"/>
      <c r="J108" s="1035"/>
      <c r="K108" s="1035"/>
      <c r="L108" s="1035"/>
      <c r="M108" s="1035"/>
      <c r="N108" s="1035"/>
      <c r="O108" s="1035"/>
      <c r="P108" s="1035"/>
      <c r="Q108" s="1035"/>
      <c r="R108" s="1035"/>
      <c r="S108" s="1035"/>
    </row>
    <row r="109" spans="1:256" ht="13.5" thickBot="1">
      <c r="A109" s="1018">
        <v>3</v>
      </c>
      <c r="B109" s="1040" t="s">
        <v>689</v>
      </c>
      <c r="C109" s="1053">
        <f>SUM(C17:C108)</f>
        <v>0</v>
      </c>
      <c r="D109" s="1053">
        <f>SUM(D17:D108)</f>
        <v>0</v>
      </c>
      <c r="E109" s="1053">
        <f>SUM(E17:E108)</f>
        <v>0</v>
      </c>
      <c r="F109" s="1053">
        <f>SUM(F17:F108)</f>
        <v>0</v>
      </c>
      <c r="G109" s="1053">
        <f>SUM(G17:G108)</f>
        <v>0</v>
      </c>
      <c r="H109" s="1035"/>
      <c r="I109" s="1053">
        <f>SUM(I17:I108)</f>
        <v>0</v>
      </c>
      <c r="J109" s="1053">
        <f>SUM(J17:J108)</f>
        <v>0</v>
      </c>
      <c r="K109" s="1053">
        <f>SUM(K17:K108)</f>
        <v>0</v>
      </c>
      <c r="L109" s="1035"/>
      <c r="M109" s="1053">
        <f>SUM(M17:M108)</f>
        <v>0</v>
      </c>
      <c r="N109" s="1053">
        <f>SUM(N17:N108)</f>
        <v>0</v>
      </c>
      <c r="O109" s="1053">
        <f>SUM(O17:O108)</f>
        <v>0</v>
      </c>
      <c r="P109" s="1035"/>
      <c r="Q109" s="1053">
        <f>SUM(Q17:Q108)</f>
        <v>0</v>
      </c>
      <c r="R109" s="1053">
        <f>SUM(R17:R108)</f>
        <v>0</v>
      </c>
      <c r="S109" s="1053">
        <f>SUM(S17:S108)</f>
        <v>0</v>
      </c>
    </row>
    <row r="110" spans="1:256" s="1167" customFormat="1" ht="13.5" thickTop="1">
      <c r="A110" s="1019">
        <v>4</v>
      </c>
      <c r="B110" s="1027" t="s">
        <v>690</v>
      </c>
      <c r="C110" s="1245">
        <f>C77+C78</f>
        <v>0</v>
      </c>
      <c r="D110" s="1245">
        <f>D77+D78</f>
        <v>0</v>
      </c>
      <c r="E110" s="1245">
        <f>E77+E78</f>
        <v>0</v>
      </c>
      <c r="F110" s="1245">
        <f>F77+F78</f>
        <v>0</v>
      </c>
      <c r="G110" s="1245">
        <f>G77+G78</f>
        <v>0</v>
      </c>
      <c r="I110" s="1245">
        <f>I77+I78</f>
        <v>0</v>
      </c>
      <c r="J110" s="1245">
        <f>J77+J78</f>
        <v>0</v>
      </c>
      <c r="K110" s="1245">
        <f>K77+K78</f>
        <v>0</v>
      </c>
      <c r="M110" s="1245">
        <f>M77+M78</f>
        <v>0</v>
      </c>
      <c r="N110" s="1245">
        <f>N77+N78</f>
        <v>0</v>
      </c>
      <c r="O110" s="1245">
        <f>O77+O78</f>
        <v>0</v>
      </c>
      <c r="Q110" s="1245">
        <f>Q77+Q78</f>
        <v>0</v>
      </c>
      <c r="R110" s="1245">
        <f>R77+R78</f>
        <v>0</v>
      </c>
      <c r="S110" s="1245">
        <f>S77+S78</f>
        <v>0</v>
      </c>
      <c r="IV110" s="1245"/>
    </row>
    <row r="111" spans="1:256">
      <c r="I111" s="105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A5" sqref="A5"/>
    </sheetView>
  </sheetViews>
  <sheetFormatPr defaultColWidth="10" defaultRowHeight="12"/>
  <cols>
    <col min="1" max="1" width="9.42578125" style="1328" customWidth="1"/>
    <col min="2" max="2" width="20.85546875" style="1329" customWidth="1"/>
    <col min="3" max="3" width="35.5703125" style="1328" customWidth="1"/>
    <col min="4" max="4" width="12.85546875" style="1328" customWidth="1"/>
    <col min="5" max="5" width="10.42578125" style="1328" customWidth="1"/>
    <col min="6" max="6" width="16.42578125" style="1328" customWidth="1"/>
    <col min="7" max="7" width="12" style="1328" customWidth="1"/>
    <col min="8" max="8" width="14.28515625" style="1328" bestFit="1" customWidth="1"/>
    <col min="9" max="9" width="18.85546875" style="1328" customWidth="1"/>
    <col min="10" max="10" width="15.5703125" style="1328" customWidth="1"/>
    <col min="11" max="11" width="16.140625" style="1328" customWidth="1"/>
    <col min="12" max="13" width="15" style="1328" customWidth="1"/>
    <col min="14" max="14" width="13.5703125" style="1328" customWidth="1"/>
    <col min="15" max="15" width="15" style="1328" customWidth="1"/>
    <col min="16" max="17" width="17.5703125" style="1328" customWidth="1"/>
    <col min="18" max="18" width="33" style="1328" customWidth="1"/>
    <col min="19" max="19" width="15" style="1328" customWidth="1"/>
    <col min="20" max="21" width="14.5703125" style="1328" bestFit="1" customWidth="1"/>
    <col min="22" max="22" width="10.5703125" style="1328" bestFit="1" customWidth="1"/>
    <col min="23" max="256" width="10" style="1328"/>
    <col min="257" max="257" width="9.42578125" style="1328" customWidth="1"/>
    <col min="258" max="258" width="20.85546875" style="1328" customWidth="1"/>
    <col min="259" max="259" width="35.5703125" style="1328" customWidth="1"/>
    <col min="260" max="260" width="12.85546875" style="1328" customWidth="1"/>
    <col min="261" max="261" width="10.42578125" style="1328" customWidth="1"/>
    <col min="262" max="262" width="16.42578125" style="1328" customWidth="1"/>
    <col min="263" max="263" width="12" style="1328" customWidth="1"/>
    <col min="264" max="264" width="14.28515625" style="1328" bestFit="1" customWidth="1"/>
    <col min="265" max="265" width="18.85546875" style="1328" customWidth="1"/>
    <col min="266" max="266" width="15.5703125" style="1328" customWidth="1"/>
    <col min="267" max="267" width="16.140625" style="1328" customWidth="1"/>
    <col min="268" max="269" width="15" style="1328" customWidth="1"/>
    <col min="270" max="270" width="13.5703125" style="1328" customWidth="1"/>
    <col min="271" max="271" width="15" style="1328" customWidth="1"/>
    <col min="272" max="273" width="17.5703125" style="1328" customWidth="1"/>
    <col min="274" max="274" width="33" style="1328" customWidth="1"/>
    <col min="275" max="275" width="15" style="1328" customWidth="1"/>
    <col min="276" max="277" width="14.5703125" style="1328" bestFit="1" customWidth="1"/>
    <col min="278" max="278" width="10.5703125" style="1328" bestFit="1" customWidth="1"/>
    <col min="279" max="512" width="10" style="1328"/>
    <col min="513" max="513" width="9.42578125" style="1328" customWidth="1"/>
    <col min="514" max="514" width="20.85546875" style="1328" customWidth="1"/>
    <col min="515" max="515" width="35.5703125" style="1328" customWidth="1"/>
    <col min="516" max="516" width="12.85546875" style="1328" customWidth="1"/>
    <col min="517" max="517" width="10.42578125" style="1328" customWidth="1"/>
    <col min="518" max="518" width="16.42578125" style="1328" customWidth="1"/>
    <col min="519" max="519" width="12" style="1328" customWidth="1"/>
    <col min="520" max="520" width="14.28515625" style="1328" bestFit="1" customWidth="1"/>
    <col min="521" max="521" width="18.85546875" style="1328" customWidth="1"/>
    <col min="522" max="522" width="15.5703125" style="1328" customWidth="1"/>
    <col min="523" max="523" width="16.140625" style="1328" customWidth="1"/>
    <col min="524" max="525" width="15" style="1328" customWidth="1"/>
    <col min="526" max="526" width="13.5703125" style="1328" customWidth="1"/>
    <col min="527" max="527" width="15" style="1328" customWidth="1"/>
    <col min="528" max="529" width="17.5703125" style="1328" customWidth="1"/>
    <col min="530" max="530" width="33" style="1328" customWidth="1"/>
    <col min="531" max="531" width="15" style="1328" customWidth="1"/>
    <col min="532" max="533" width="14.5703125" style="1328" bestFit="1" customWidth="1"/>
    <col min="534" max="534" width="10.5703125" style="1328" bestFit="1" customWidth="1"/>
    <col min="535" max="768" width="10" style="1328"/>
    <col min="769" max="769" width="9.42578125" style="1328" customWidth="1"/>
    <col min="770" max="770" width="20.85546875" style="1328" customWidth="1"/>
    <col min="771" max="771" width="35.5703125" style="1328" customWidth="1"/>
    <col min="772" max="772" width="12.85546875" style="1328" customWidth="1"/>
    <col min="773" max="773" width="10.42578125" style="1328" customWidth="1"/>
    <col min="774" max="774" width="16.42578125" style="1328" customWidth="1"/>
    <col min="775" max="775" width="12" style="1328" customWidth="1"/>
    <col min="776" max="776" width="14.28515625" style="1328" bestFit="1" customWidth="1"/>
    <col min="777" max="777" width="18.85546875" style="1328" customWidth="1"/>
    <col min="778" max="778" width="15.5703125" style="1328" customWidth="1"/>
    <col min="779" max="779" width="16.140625" style="1328" customWidth="1"/>
    <col min="780" max="781" width="15" style="1328" customWidth="1"/>
    <col min="782" max="782" width="13.5703125" style="1328" customWidth="1"/>
    <col min="783" max="783" width="15" style="1328" customWidth="1"/>
    <col min="784" max="785" width="17.5703125" style="1328" customWidth="1"/>
    <col min="786" max="786" width="33" style="1328" customWidth="1"/>
    <col min="787" max="787" width="15" style="1328" customWidth="1"/>
    <col min="788" max="789" width="14.5703125" style="1328" bestFit="1" customWidth="1"/>
    <col min="790" max="790" width="10.5703125" style="1328" bestFit="1" customWidth="1"/>
    <col min="791" max="1024" width="10" style="1328"/>
    <col min="1025" max="1025" width="9.42578125" style="1328" customWidth="1"/>
    <col min="1026" max="1026" width="20.85546875" style="1328" customWidth="1"/>
    <col min="1027" max="1027" width="35.5703125" style="1328" customWidth="1"/>
    <col min="1028" max="1028" width="12.85546875" style="1328" customWidth="1"/>
    <col min="1029" max="1029" width="10.42578125" style="1328" customWidth="1"/>
    <col min="1030" max="1030" width="16.42578125" style="1328" customWidth="1"/>
    <col min="1031" max="1031" width="12" style="1328" customWidth="1"/>
    <col min="1032" max="1032" width="14.28515625" style="1328" bestFit="1" customWidth="1"/>
    <col min="1033" max="1033" width="18.85546875" style="1328" customWidth="1"/>
    <col min="1034" max="1034" width="15.5703125" style="1328" customWidth="1"/>
    <col min="1035" max="1035" width="16.140625" style="1328" customWidth="1"/>
    <col min="1036" max="1037" width="15" style="1328" customWidth="1"/>
    <col min="1038" max="1038" width="13.5703125" style="1328" customWidth="1"/>
    <col min="1039" max="1039" width="15" style="1328" customWidth="1"/>
    <col min="1040" max="1041" width="17.5703125" style="1328" customWidth="1"/>
    <col min="1042" max="1042" width="33" style="1328" customWidth="1"/>
    <col min="1043" max="1043" width="15" style="1328" customWidth="1"/>
    <col min="1044" max="1045" width="14.5703125" style="1328" bestFit="1" customWidth="1"/>
    <col min="1046" max="1046" width="10.5703125" style="1328" bestFit="1" customWidth="1"/>
    <col min="1047" max="1280" width="10" style="1328"/>
    <col min="1281" max="1281" width="9.42578125" style="1328" customWidth="1"/>
    <col min="1282" max="1282" width="20.85546875" style="1328" customWidth="1"/>
    <col min="1283" max="1283" width="35.5703125" style="1328" customWidth="1"/>
    <col min="1284" max="1284" width="12.85546875" style="1328" customWidth="1"/>
    <col min="1285" max="1285" width="10.42578125" style="1328" customWidth="1"/>
    <col min="1286" max="1286" width="16.42578125" style="1328" customWidth="1"/>
    <col min="1287" max="1287" width="12" style="1328" customWidth="1"/>
    <col min="1288" max="1288" width="14.28515625" style="1328" bestFit="1" customWidth="1"/>
    <col min="1289" max="1289" width="18.85546875" style="1328" customWidth="1"/>
    <col min="1290" max="1290" width="15.5703125" style="1328" customWidth="1"/>
    <col min="1291" max="1291" width="16.140625" style="1328" customWidth="1"/>
    <col min="1292" max="1293" width="15" style="1328" customWidth="1"/>
    <col min="1294" max="1294" width="13.5703125" style="1328" customWidth="1"/>
    <col min="1295" max="1295" width="15" style="1328" customWidth="1"/>
    <col min="1296" max="1297" width="17.5703125" style="1328" customWidth="1"/>
    <col min="1298" max="1298" width="33" style="1328" customWidth="1"/>
    <col min="1299" max="1299" width="15" style="1328" customWidth="1"/>
    <col min="1300" max="1301" width="14.5703125" style="1328" bestFit="1" customWidth="1"/>
    <col min="1302" max="1302" width="10.5703125" style="1328" bestFit="1" customWidth="1"/>
    <col min="1303" max="1536" width="10" style="1328"/>
    <col min="1537" max="1537" width="9.42578125" style="1328" customWidth="1"/>
    <col min="1538" max="1538" width="20.85546875" style="1328" customWidth="1"/>
    <col min="1539" max="1539" width="35.5703125" style="1328" customWidth="1"/>
    <col min="1540" max="1540" width="12.85546875" style="1328" customWidth="1"/>
    <col min="1541" max="1541" width="10.42578125" style="1328" customWidth="1"/>
    <col min="1542" max="1542" width="16.42578125" style="1328" customWidth="1"/>
    <col min="1543" max="1543" width="12" style="1328" customWidth="1"/>
    <col min="1544" max="1544" width="14.28515625" style="1328" bestFit="1" customWidth="1"/>
    <col min="1545" max="1545" width="18.85546875" style="1328" customWidth="1"/>
    <col min="1546" max="1546" width="15.5703125" style="1328" customWidth="1"/>
    <col min="1547" max="1547" width="16.140625" style="1328" customWidth="1"/>
    <col min="1548" max="1549" width="15" style="1328" customWidth="1"/>
    <col min="1550" max="1550" width="13.5703125" style="1328" customWidth="1"/>
    <col min="1551" max="1551" width="15" style="1328" customWidth="1"/>
    <col min="1552" max="1553" width="17.5703125" style="1328" customWidth="1"/>
    <col min="1554" max="1554" width="33" style="1328" customWidth="1"/>
    <col min="1555" max="1555" width="15" style="1328" customWidth="1"/>
    <col min="1556" max="1557" width="14.5703125" style="1328" bestFit="1" customWidth="1"/>
    <col min="1558" max="1558" width="10.5703125" style="1328" bestFit="1" customWidth="1"/>
    <col min="1559" max="1792" width="10" style="1328"/>
    <col min="1793" max="1793" width="9.42578125" style="1328" customWidth="1"/>
    <col min="1794" max="1794" width="20.85546875" style="1328" customWidth="1"/>
    <col min="1795" max="1795" width="35.5703125" style="1328" customWidth="1"/>
    <col min="1796" max="1796" width="12.85546875" style="1328" customWidth="1"/>
    <col min="1797" max="1797" width="10.42578125" style="1328" customWidth="1"/>
    <col min="1798" max="1798" width="16.42578125" style="1328" customWidth="1"/>
    <col min="1799" max="1799" width="12" style="1328" customWidth="1"/>
    <col min="1800" max="1800" width="14.28515625" style="1328" bestFit="1" customWidth="1"/>
    <col min="1801" max="1801" width="18.85546875" style="1328" customWidth="1"/>
    <col min="1802" max="1802" width="15.5703125" style="1328" customWidth="1"/>
    <col min="1803" max="1803" width="16.140625" style="1328" customWidth="1"/>
    <col min="1804" max="1805" width="15" style="1328" customWidth="1"/>
    <col min="1806" max="1806" width="13.5703125" style="1328" customWidth="1"/>
    <col min="1807" max="1807" width="15" style="1328" customWidth="1"/>
    <col min="1808" max="1809" width="17.5703125" style="1328" customWidth="1"/>
    <col min="1810" max="1810" width="33" style="1328" customWidth="1"/>
    <col min="1811" max="1811" width="15" style="1328" customWidth="1"/>
    <col min="1812" max="1813" width="14.5703125" style="1328" bestFit="1" customWidth="1"/>
    <col min="1814" max="1814" width="10.5703125" style="1328" bestFit="1" customWidth="1"/>
    <col min="1815" max="2048" width="10" style="1328"/>
    <col min="2049" max="2049" width="9.42578125" style="1328" customWidth="1"/>
    <col min="2050" max="2050" width="20.85546875" style="1328" customWidth="1"/>
    <col min="2051" max="2051" width="35.5703125" style="1328" customWidth="1"/>
    <col min="2052" max="2052" width="12.85546875" style="1328" customWidth="1"/>
    <col min="2053" max="2053" width="10.42578125" style="1328" customWidth="1"/>
    <col min="2054" max="2054" width="16.42578125" style="1328" customWidth="1"/>
    <col min="2055" max="2055" width="12" style="1328" customWidth="1"/>
    <col min="2056" max="2056" width="14.28515625" style="1328" bestFit="1" customWidth="1"/>
    <col min="2057" max="2057" width="18.85546875" style="1328" customWidth="1"/>
    <col min="2058" max="2058" width="15.5703125" style="1328" customWidth="1"/>
    <col min="2059" max="2059" width="16.140625" style="1328" customWidth="1"/>
    <col min="2060" max="2061" width="15" style="1328" customWidth="1"/>
    <col min="2062" max="2062" width="13.5703125" style="1328" customWidth="1"/>
    <col min="2063" max="2063" width="15" style="1328" customWidth="1"/>
    <col min="2064" max="2065" width="17.5703125" style="1328" customWidth="1"/>
    <col min="2066" max="2066" width="33" style="1328" customWidth="1"/>
    <col min="2067" max="2067" width="15" style="1328" customWidth="1"/>
    <col min="2068" max="2069" width="14.5703125" style="1328" bestFit="1" customWidth="1"/>
    <col min="2070" max="2070" width="10.5703125" style="1328" bestFit="1" customWidth="1"/>
    <col min="2071" max="2304" width="10" style="1328"/>
    <col min="2305" max="2305" width="9.42578125" style="1328" customWidth="1"/>
    <col min="2306" max="2306" width="20.85546875" style="1328" customWidth="1"/>
    <col min="2307" max="2307" width="35.5703125" style="1328" customWidth="1"/>
    <col min="2308" max="2308" width="12.85546875" style="1328" customWidth="1"/>
    <col min="2309" max="2309" width="10.42578125" style="1328" customWidth="1"/>
    <col min="2310" max="2310" width="16.42578125" style="1328" customWidth="1"/>
    <col min="2311" max="2311" width="12" style="1328" customWidth="1"/>
    <col min="2312" max="2312" width="14.28515625" style="1328" bestFit="1" customWidth="1"/>
    <col min="2313" max="2313" width="18.85546875" style="1328" customWidth="1"/>
    <col min="2314" max="2314" width="15.5703125" style="1328" customWidth="1"/>
    <col min="2315" max="2315" width="16.140625" style="1328" customWidth="1"/>
    <col min="2316" max="2317" width="15" style="1328" customWidth="1"/>
    <col min="2318" max="2318" width="13.5703125" style="1328" customWidth="1"/>
    <col min="2319" max="2319" width="15" style="1328" customWidth="1"/>
    <col min="2320" max="2321" width="17.5703125" style="1328" customWidth="1"/>
    <col min="2322" max="2322" width="33" style="1328" customWidth="1"/>
    <col min="2323" max="2323" width="15" style="1328" customWidth="1"/>
    <col min="2324" max="2325" width="14.5703125" style="1328" bestFit="1" customWidth="1"/>
    <col min="2326" max="2326" width="10.5703125" style="1328" bestFit="1" customWidth="1"/>
    <col min="2327" max="2560" width="10" style="1328"/>
    <col min="2561" max="2561" width="9.42578125" style="1328" customWidth="1"/>
    <col min="2562" max="2562" width="20.85546875" style="1328" customWidth="1"/>
    <col min="2563" max="2563" width="35.5703125" style="1328" customWidth="1"/>
    <col min="2564" max="2564" width="12.85546875" style="1328" customWidth="1"/>
    <col min="2565" max="2565" width="10.42578125" style="1328" customWidth="1"/>
    <col min="2566" max="2566" width="16.42578125" style="1328" customWidth="1"/>
    <col min="2567" max="2567" width="12" style="1328" customWidth="1"/>
    <col min="2568" max="2568" width="14.28515625" style="1328" bestFit="1" customWidth="1"/>
    <col min="2569" max="2569" width="18.85546875" style="1328" customWidth="1"/>
    <col min="2570" max="2570" width="15.5703125" style="1328" customWidth="1"/>
    <col min="2571" max="2571" width="16.140625" style="1328" customWidth="1"/>
    <col min="2572" max="2573" width="15" style="1328" customWidth="1"/>
    <col min="2574" max="2574" width="13.5703125" style="1328" customWidth="1"/>
    <col min="2575" max="2575" width="15" style="1328" customWidth="1"/>
    <col min="2576" max="2577" width="17.5703125" style="1328" customWidth="1"/>
    <col min="2578" max="2578" width="33" style="1328" customWidth="1"/>
    <col min="2579" max="2579" width="15" style="1328" customWidth="1"/>
    <col min="2580" max="2581" width="14.5703125" style="1328" bestFit="1" customWidth="1"/>
    <col min="2582" max="2582" width="10.5703125" style="1328" bestFit="1" customWidth="1"/>
    <col min="2583" max="2816" width="10" style="1328"/>
    <col min="2817" max="2817" width="9.42578125" style="1328" customWidth="1"/>
    <col min="2818" max="2818" width="20.85546875" style="1328" customWidth="1"/>
    <col min="2819" max="2819" width="35.5703125" style="1328" customWidth="1"/>
    <col min="2820" max="2820" width="12.85546875" style="1328" customWidth="1"/>
    <col min="2821" max="2821" width="10.42578125" style="1328" customWidth="1"/>
    <col min="2822" max="2822" width="16.42578125" style="1328" customWidth="1"/>
    <col min="2823" max="2823" width="12" style="1328" customWidth="1"/>
    <col min="2824" max="2824" width="14.28515625" style="1328" bestFit="1" customWidth="1"/>
    <col min="2825" max="2825" width="18.85546875" style="1328" customWidth="1"/>
    <col min="2826" max="2826" width="15.5703125" style="1328" customWidth="1"/>
    <col min="2827" max="2827" width="16.140625" style="1328" customWidth="1"/>
    <col min="2828" max="2829" width="15" style="1328" customWidth="1"/>
    <col min="2830" max="2830" width="13.5703125" style="1328" customWidth="1"/>
    <col min="2831" max="2831" width="15" style="1328" customWidth="1"/>
    <col min="2832" max="2833" width="17.5703125" style="1328" customWidth="1"/>
    <col min="2834" max="2834" width="33" style="1328" customWidth="1"/>
    <col min="2835" max="2835" width="15" style="1328" customWidth="1"/>
    <col min="2836" max="2837" width="14.5703125" style="1328" bestFit="1" customWidth="1"/>
    <col min="2838" max="2838" width="10.5703125" style="1328" bestFit="1" customWidth="1"/>
    <col min="2839" max="3072" width="10" style="1328"/>
    <col min="3073" max="3073" width="9.42578125" style="1328" customWidth="1"/>
    <col min="3074" max="3074" width="20.85546875" style="1328" customWidth="1"/>
    <col min="3075" max="3075" width="35.5703125" style="1328" customWidth="1"/>
    <col min="3076" max="3076" width="12.85546875" style="1328" customWidth="1"/>
    <col min="3077" max="3077" width="10.42578125" style="1328" customWidth="1"/>
    <col min="3078" max="3078" width="16.42578125" style="1328" customWidth="1"/>
    <col min="3079" max="3079" width="12" style="1328" customWidth="1"/>
    <col min="3080" max="3080" width="14.28515625" style="1328" bestFit="1" customWidth="1"/>
    <col min="3081" max="3081" width="18.85546875" style="1328" customWidth="1"/>
    <col min="3082" max="3082" width="15.5703125" style="1328" customWidth="1"/>
    <col min="3083" max="3083" width="16.140625" style="1328" customWidth="1"/>
    <col min="3084" max="3085" width="15" style="1328" customWidth="1"/>
    <col min="3086" max="3086" width="13.5703125" style="1328" customWidth="1"/>
    <col min="3087" max="3087" width="15" style="1328" customWidth="1"/>
    <col min="3088" max="3089" width="17.5703125" style="1328" customWidth="1"/>
    <col min="3090" max="3090" width="33" style="1328" customWidth="1"/>
    <col min="3091" max="3091" width="15" style="1328" customWidth="1"/>
    <col min="3092" max="3093" width="14.5703125" style="1328" bestFit="1" customWidth="1"/>
    <col min="3094" max="3094" width="10.5703125" style="1328" bestFit="1" customWidth="1"/>
    <col min="3095" max="3328" width="10" style="1328"/>
    <col min="3329" max="3329" width="9.42578125" style="1328" customWidth="1"/>
    <col min="3330" max="3330" width="20.85546875" style="1328" customWidth="1"/>
    <col min="3331" max="3331" width="35.5703125" style="1328" customWidth="1"/>
    <col min="3332" max="3332" width="12.85546875" style="1328" customWidth="1"/>
    <col min="3333" max="3333" width="10.42578125" style="1328" customWidth="1"/>
    <col min="3334" max="3334" width="16.42578125" style="1328" customWidth="1"/>
    <col min="3335" max="3335" width="12" style="1328" customWidth="1"/>
    <col min="3336" max="3336" width="14.28515625" style="1328" bestFit="1" customWidth="1"/>
    <col min="3337" max="3337" width="18.85546875" style="1328" customWidth="1"/>
    <col min="3338" max="3338" width="15.5703125" style="1328" customWidth="1"/>
    <col min="3339" max="3339" width="16.140625" style="1328" customWidth="1"/>
    <col min="3340" max="3341" width="15" style="1328" customWidth="1"/>
    <col min="3342" max="3342" width="13.5703125" style="1328" customWidth="1"/>
    <col min="3343" max="3343" width="15" style="1328" customWidth="1"/>
    <col min="3344" max="3345" width="17.5703125" style="1328" customWidth="1"/>
    <col min="3346" max="3346" width="33" style="1328" customWidth="1"/>
    <col min="3347" max="3347" width="15" style="1328" customWidth="1"/>
    <col min="3348" max="3349" width="14.5703125" style="1328" bestFit="1" customWidth="1"/>
    <col min="3350" max="3350" width="10.5703125" style="1328" bestFit="1" customWidth="1"/>
    <col min="3351" max="3584" width="10" style="1328"/>
    <col min="3585" max="3585" width="9.42578125" style="1328" customWidth="1"/>
    <col min="3586" max="3586" width="20.85546875" style="1328" customWidth="1"/>
    <col min="3587" max="3587" width="35.5703125" style="1328" customWidth="1"/>
    <col min="3588" max="3588" width="12.85546875" style="1328" customWidth="1"/>
    <col min="3589" max="3589" width="10.42578125" style="1328" customWidth="1"/>
    <col min="3590" max="3590" width="16.42578125" style="1328" customWidth="1"/>
    <col min="3591" max="3591" width="12" style="1328" customWidth="1"/>
    <col min="3592" max="3592" width="14.28515625" style="1328" bestFit="1" customWidth="1"/>
    <col min="3593" max="3593" width="18.85546875" style="1328" customWidth="1"/>
    <col min="3594" max="3594" width="15.5703125" style="1328" customWidth="1"/>
    <col min="3595" max="3595" width="16.140625" style="1328" customWidth="1"/>
    <col min="3596" max="3597" width="15" style="1328" customWidth="1"/>
    <col min="3598" max="3598" width="13.5703125" style="1328" customWidth="1"/>
    <col min="3599" max="3599" width="15" style="1328" customWidth="1"/>
    <col min="3600" max="3601" width="17.5703125" style="1328" customWidth="1"/>
    <col min="3602" max="3602" width="33" style="1328" customWidth="1"/>
    <col min="3603" max="3603" width="15" style="1328" customWidth="1"/>
    <col min="3604" max="3605" width="14.5703125" style="1328" bestFit="1" customWidth="1"/>
    <col min="3606" max="3606" width="10.5703125" style="1328" bestFit="1" customWidth="1"/>
    <col min="3607" max="3840" width="10" style="1328"/>
    <col min="3841" max="3841" width="9.42578125" style="1328" customWidth="1"/>
    <col min="3842" max="3842" width="20.85546875" style="1328" customWidth="1"/>
    <col min="3843" max="3843" width="35.5703125" style="1328" customWidth="1"/>
    <col min="3844" max="3844" width="12.85546875" style="1328" customWidth="1"/>
    <col min="3845" max="3845" width="10.42578125" style="1328" customWidth="1"/>
    <col min="3846" max="3846" width="16.42578125" style="1328" customWidth="1"/>
    <col min="3847" max="3847" width="12" style="1328" customWidth="1"/>
    <col min="3848" max="3848" width="14.28515625" style="1328" bestFit="1" customWidth="1"/>
    <col min="3849" max="3849" width="18.85546875" style="1328" customWidth="1"/>
    <col min="3850" max="3850" width="15.5703125" style="1328" customWidth="1"/>
    <col min="3851" max="3851" width="16.140625" style="1328" customWidth="1"/>
    <col min="3852" max="3853" width="15" style="1328" customWidth="1"/>
    <col min="3854" max="3854" width="13.5703125" style="1328" customWidth="1"/>
    <col min="3855" max="3855" width="15" style="1328" customWidth="1"/>
    <col min="3856" max="3857" width="17.5703125" style="1328" customWidth="1"/>
    <col min="3858" max="3858" width="33" style="1328" customWidth="1"/>
    <col min="3859" max="3859" width="15" style="1328" customWidth="1"/>
    <col min="3860" max="3861" width="14.5703125" style="1328" bestFit="1" customWidth="1"/>
    <col min="3862" max="3862" width="10.5703125" style="1328" bestFit="1" customWidth="1"/>
    <col min="3863" max="4096" width="10" style="1328"/>
    <col min="4097" max="4097" width="9.42578125" style="1328" customWidth="1"/>
    <col min="4098" max="4098" width="20.85546875" style="1328" customWidth="1"/>
    <col min="4099" max="4099" width="35.5703125" style="1328" customWidth="1"/>
    <col min="4100" max="4100" width="12.85546875" style="1328" customWidth="1"/>
    <col min="4101" max="4101" width="10.42578125" style="1328" customWidth="1"/>
    <col min="4102" max="4102" width="16.42578125" style="1328" customWidth="1"/>
    <col min="4103" max="4103" width="12" style="1328" customWidth="1"/>
    <col min="4104" max="4104" width="14.28515625" style="1328" bestFit="1" customWidth="1"/>
    <col min="4105" max="4105" width="18.85546875" style="1328" customWidth="1"/>
    <col min="4106" max="4106" width="15.5703125" style="1328" customWidth="1"/>
    <col min="4107" max="4107" width="16.140625" style="1328" customWidth="1"/>
    <col min="4108" max="4109" width="15" style="1328" customWidth="1"/>
    <col min="4110" max="4110" width="13.5703125" style="1328" customWidth="1"/>
    <col min="4111" max="4111" width="15" style="1328" customWidth="1"/>
    <col min="4112" max="4113" width="17.5703125" style="1328" customWidth="1"/>
    <col min="4114" max="4114" width="33" style="1328" customWidth="1"/>
    <col min="4115" max="4115" width="15" style="1328" customWidth="1"/>
    <col min="4116" max="4117" width="14.5703125" style="1328" bestFit="1" customWidth="1"/>
    <col min="4118" max="4118" width="10.5703125" style="1328" bestFit="1" customWidth="1"/>
    <col min="4119" max="4352" width="10" style="1328"/>
    <col min="4353" max="4353" width="9.42578125" style="1328" customWidth="1"/>
    <col min="4354" max="4354" width="20.85546875" style="1328" customWidth="1"/>
    <col min="4355" max="4355" width="35.5703125" style="1328" customWidth="1"/>
    <col min="4356" max="4356" width="12.85546875" style="1328" customWidth="1"/>
    <col min="4357" max="4357" width="10.42578125" style="1328" customWidth="1"/>
    <col min="4358" max="4358" width="16.42578125" style="1328" customWidth="1"/>
    <col min="4359" max="4359" width="12" style="1328" customWidth="1"/>
    <col min="4360" max="4360" width="14.28515625" style="1328" bestFit="1" customWidth="1"/>
    <col min="4361" max="4361" width="18.85546875" style="1328" customWidth="1"/>
    <col min="4362" max="4362" width="15.5703125" style="1328" customWidth="1"/>
    <col min="4363" max="4363" width="16.140625" style="1328" customWidth="1"/>
    <col min="4364" max="4365" width="15" style="1328" customWidth="1"/>
    <col min="4366" max="4366" width="13.5703125" style="1328" customWidth="1"/>
    <col min="4367" max="4367" width="15" style="1328" customWidth="1"/>
    <col min="4368" max="4369" width="17.5703125" style="1328" customWidth="1"/>
    <col min="4370" max="4370" width="33" style="1328" customWidth="1"/>
    <col min="4371" max="4371" width="15" style="1328" customWidth="1"/>
    <col min="4372" max="4373" width="14.5703125" style="1328" bestFit="1" customWidth="1"/>
    <col min="4374" max="4374" width="10.5703125" style="1328" bestFit="1" customWidth="1"/>
    <col min="4375" max="4608" width="10" style="1328"/>
    <col min="4609" max="4609" width="9.42578125" style="1328" customWidth="1"/>
    <col min="4610" max="4610" width="20.85546875" style="1328" customWidth="1"/>
    <col min="4611" max="4611" width="35.5703125" style="1328" customWidth="1"/>
    <col min="4612" max="4612" width="12.85546875" style="1328" customWidth="1"/>
    <col min="4613" max="4613" width="10.42578125" style="1328" customWidth="1"/>
    <col min="4614" max="4614" width="16.42578125" style="1328" customWidth="1"/>
    <col min="4615" max="4615" width="12" style="1328" customWidth="1"/>
    <col min="4616" max="4616" width="14.28515625" style="1328" bestFit="1" customWidth="1"/>
    <col min="4617" max="4617" width="18.85546875" style="1328" customWidth="1"/>
    <col min="4618" max="4618" width="15.5703125" style="1328" customWidth="1"/>
    <col min="4619" max="4619" width="16.140625" style="1328" customWidth="1"/>
    <col min="4620" max="4621" width="15" style="1328" customWidth="1"/>
    <col min="4622" max="4622" width="13.5703125" style="1328" customWidth="1"/>
    <col min="4623" max="4623" width="15" style="1328" customWidth="1"/>
    <col min="4624" max="4625" width="17.5703125" style="1328" customWidth="1"/>
    <col min="4626" max="4626" width="33" style="1328" customWidth="1"/>
    <col min="4627" max="4627" width="15" style="1328" customWidth="1"/>
    <col min="4628" max="4629" width="14.5703125" style="1328" bestFit="1" customWidth="1"/>
    <col min="4630" max="4630" width="10.5703125" style="1328" bestFit="1" customWidth="1"/>
    <col min="4631" max="4864" width="10" style="1328"/>
    <col min="4865" max="4865" width="9.42578125" style="1328" customWidth="1"/>
    <col min="4866" max="4866" width="20.85546875" style="1328" customWidth="1"/>
    <col min="4867" max="4867" width="35.5703125" style="1328" customWidth="1"/>
    <col min="4868" max="4868" width="12.85546875" style="1328" customWidth="1"/>
    <col min="4869" max="4869" width="10.42578125" style="1328" customWidth="1"/>
    <col min="4870" max="4870" width="16.42578125" style="1328" customWidth="1"/>
    <col min="4871" max="4871" width="12" style="1328" customWidth="1"/>
    <col min="4872" max="4872" width="14.28515625" style="1328" bestFit="1" customWidth="1"/>
    <col min="4873" max="4873" width="18.85546875" style="1328" customWidth="1"/>
    <col min="4874" max="4874" width="15.5703125" style="1328" customWidth="1"/>
    <col min="4875" max="4875" width="16.140625" style="1328" customWidth="1"/>
    <col min="4876" max="4877" width="15" style="1328" customWidth="1"/>
    <col min="4878" max="4878" width="13.5703125" style="1328" customWidth="1"/>
    <col min="4879" max="4879" width="15" style="1328" customWidth="1"/>
    <col min="4880" max="4881" width="17.5703125" style="1328" customWidth="1"/>
    <col min="4882" max="4882" width="33" style="1328" customWidth="1"/>
    <col min="4883" max="4883" width="15" style="1328" customWidth="1"/>
    <col min="4884" max="4885" width="14.5703125" style="1328" bestFit="1" customWidth="1"/>
    <col min="4886" max="4886" width="10.5703125" style="1328" bestFit="1" customWidth="1"/>
    <col min="4887" max="5120" width="10" style="1328"/>
    <col min="5121" max="5121" width="9.42578125" style="1328" customWidth="1"/>
    <col min="5122" max="5122" width="20.85546875" style="1328" customWidth="1"/>
    <col min="5123" max="5123" width="35.5703125" style="1328" customWidth="1"/>
    <col min="5124" max="5124" width="12.85546875" style="1328" customWidth="1"/>
    <col min="5125" max="5125" width="10.42578125" style="1328" customWidth="1"/>
    <col min="5126" max="5126" width="16.42578125" style="1328" customWidth="1"/>
    <col min="5127" max="5127" width="12" style="1328" customWidth="1"/>
    <col min="5128" max="5128" width="14.28515625" style="1328" bestFit="1" customWidth="1"/>
    <col min="5129" max="5129" width="18.85546875" style="1328" customWidth="1"/>
    <col min="5130" max="5130" width="15.5703125" style="1328" customWidth="1"/>
    <col min="5131" max="5131" width="16.140625" style="1328" customWidth="1"/>
    <col min="5132" max="5133" width="15" style="1328" customWidth="1"/>
    <col min="5134" max="5134" width="13.5703125" style="1328" customWidth="1"/>
    <col min="5135" max="5135" width="15" style="1328" customWidth="1"/>
    <col min="5136" max="5137" width="17.5703125" style="1328" customWidth="1"/>
    <col min="5138" max="5138" width="33" style="1328" customWidth="1"/>
    <col min="5139" max="5139" width="15" style="1328" customWidth="1"/>
    <col min="5140" max="5141" width="14.5703125" style="1328" bestFit="1" customWidth="1"/>
    <col min="5142" max="5142" width="10.5703125" style="1328" bestFit="1" customWidth="1"/>
    <col min="5143" max="5376" width="10" style="1328"/>
    <col min="5377" max="5377" width="9.42578125" style="1328" customWidth="1"/>
    <col min="5378" max="5378" width="20.85546875" style="1328" customWidth="1"/>
    <col min="5379" max="5379" width="35.5703125" style="1328" customWidth="1"/>
    <col min="5380" max="5380" width="12.85546875" style="1328" customWidth="1"/>
    <col min="5381" max="5381" width="10.42578125" style="1328" customWidth="1"/>
    <col min="5382" max="5382" width="16.42578125" style="1328" customWidth="1"/>
    <col min="5383" max="5383" width="12" style="1328" customWidth="1"/>
    <col min="5384" max="5384" width="14.28515625" style="1328" bestFit="1" customWidth="1"/>
    <col min="5385" max="5385" width="18.85546875" style="1328" customWidth="1"/>
    <col min="5386" max="5386" width="15.5703125" style="1328" customWidth="1"/>
    <col min="5387" max="5387" width="16.140625" style="1328" customWidth="1"/>
    <col min="5388" max="5389" width="15" style="1328" customWidth="1"/>
    <col min="5390" max="5390" width="13.5703125" style="1328" customWidth="1"/>
    <col min="5391" max="5391" width="15" style="1328" customWidth="1"/>
    <col min="5392" max="5393" width="17.5703125" style="1328" customWidth="1"/>
    <col min="5394" max="5394" width="33" style="1328" customWidth="1"/>
    <col min="5395" max="5395" width="15" style="1328" customWidth="1"/>
    <col min="5396" max="5397" width="14.5703125" style="1328" bestFit="1" customWidth="1"/>
    <col min="5398" max="5398" width="10.5703125" style="1328" bestFit="1" customWidth="1"/>
    <col min="5399" max="5632" width="10" style="1328"/>
    <col min="5633" max="5633" width="9.42578125" style="1328" customWidth="1"/>
    <col min="5634" max="5634" width="20.85546875" style="1328" customWidth="1"/>
    <col min="5635" max="5635" width="35.5703125" style="1328" customWidth="1"/>
    <col min="5636" max="5636" width="12.85546875" style="1328" customWidth="1"/>
    <col min="5637" max="5637" width="10.42578125" style="1328" customWidth="1"/>
    <col min="5638" max="5638" width="16.42578125" style="1328" customWidth="1"/>
    <col min="5639" max="5639" width="12" style="1328" customWidth="1"/>
    <col min="5640" max="5640" width="14.28515625" style="1328" bestFit="1" customWidth="1"/>
    <col min="5641" max="5641" width="18.85546875" style="1328" customWidth="1"/>
    <col min="5642" max="5642" width="15.5703125" style="1328" customWidth="1"/>
    <col min="5643" max="5643" width="16.140625" style="1328" customWidth="1"/>
    <col min="5644" max="5645" width="15" style="1328" customWidth="1"/>
    <col min="5646" max="5646" width="13.5703125" style="1328" customWidth="1"/>
    <col min="5647" max="5647" width="15" style="1328" customWidth="1"/>
    <col min="5648" max="5649" width="17.5703125" style="1328" customWidth="1"/>
    <col min="5650" max="5650" width="33" style="1328" customWidth="1"/>
    <col min="5651" max="5651" width="15" style="1328" customWidth="1"/>
    <col min="5652" max="5653" width="14.5703125" style="1328" bestFit="1" customWidth="1"/>
    <col min="5654" max="5654" width="10.5703125" style="1328" bestFit="1" customWidth="1"/>
    <col min="5655" max="5888" width="10" style="1328"/>
    <col min="5889" max="5889" width="9.42578125" style="1328" customWidth="1"/>
    <col min="5890" max="5890" width="20.85546875" style="1328" customWidth="1"/>
    <col min="5891" max="5891" width="35.5703125" style="1328" customWidth="1"/>
    <col min="5892" max="5892" width="12.85546875" style="1328" customWidth="1"/>
    <col min="5893" max="5893" width="10.42578125" style="1328" customWidth="1"/>
    <col min="5894" max="5894" width="16.42578125" style="1328" customWidth="1"/>
    <col min="5895" max="5895" width="12" style="1328" customWidth="1"/>
    <col min="5896" max="5896" width="14.28515625" style="1328" bestFit="1" customWidth="1"/>
    <col min="5897" max="5897" width="18.85546875" style="1328" customWidth="1"/>
    <col min="5898" max="5898" width="15.5703125" style="1328" customWidth="1"/>
    <col min="5899" max="5899" width="16.140625" style="1328" customWidth="1"/>
    <col min="5900" max="5901" width="15" style="1328" customWidth="1"/>
    <col min="5902" max="5902" width="13.5703125" style="1328" customWidth="1"/>
    <col min="5903" max="5903" width="15" style="1328" customWidth="1"/>
    <col min="5904" max="5905" width="17.5703125" style="1328" customWidth="1"/>
    <col min="5906" max="5906" width="33" style="1328" customWidth="1"/>
    <col min="5907" max="5907" width="15" style="1328" customWidth="1"/>
    <col min="5908" max="5909" width="14.5703125" style="1328" bestFit="1" customWidth="1"/>
    <col min="5910" max="5910" width="10.5703125" style="1328" bestFit="1" customWidth="1"/>
    <col min="5911" max="6144" width="10" style="1328"/>
    <col min="6145" max="6145" width="9.42578125" style="1328" customWidth="1"/>
    <col min="6146" max="6146" width="20.85546875" style="1328" customWidth="1"/>
    <col min="6147" max="6147" width="35.5703125" style="1328" customWidth="1"/>
    <col min="6148" max="6148" width="12.85546875" style="1328" customWidth="1"/>
    <col min="6149" max="6149" width="10.42578125" style="1328" customWidth="1"/>
    <col min="6150" max="6150" width="16.42578125" style="1328" customWidth="1"/>
    <col min="6151" max="6151" width="12" style="1328" customWidth="1"/>
    <col min="6152" max="6152" width="14.28515625" style="1328" bestFit="1" customWidth="1"/>
    <col min="6153" max="6153" width="18.85546875" style="1328" customWidth="1"/>
    <col min="6154" max="6154" width="15.5703125" style="1328" customWidth="1"/>
    <col min="6155" max="6155" width="16.140625" style="1328" customWidth="1"/>
    <col min="6156" max="6157" width="15" style="1328" customWidth="1"/>
    <col min="6158" max="6158" width="13.5703125" style="1328" customWidth="1"/>
    <col min="6159" max="6159" width="15" style="1328" customWidth="1"/>
    <col min="6160" max="6161" width="17.5703125" style="1328" customWidth="1"/>
    <col min="6162" max="6162" width="33" style="1328" customWidth="1"/>
    <col min="6163" max="6163" width="15" style="1328" customWidth="1"/>
    <col min="6164" max="6165" width="14.5703125" style="1328" bestFit="1" customWidth="1"/>
    <col min="6166" max="6166" width="10.5703125" style="1328" bestFit="1" customWidth="1"/>
    <col min="6167" max="6400" width="10" style="1328"/>
    <col min="6401" max="6401" width="9.42578125" style="1328" customWidth="1"/>
    <col min="6402" max="6402" width="20.85546875" style="1328" customWidth="1"/>
    <col min="6403" max="6403" width="35.5703125" style="1328" customWidth="1"/>
    <col min="6404" max="6404" width="12.85546875" style="1328" customWidth="1"/>
    <col min="6405" max="6405" width="10.42578125" style="1328" customWidth="1"/>
    <col min="6406" max="6406" width="16.42578125" style="1328" customWidth="1"/>
    <col min="6407" max="6407" width="12" style="1328" customWidth="1"/>
    <col min="6408" max="6408" width="14.28515625" style="1328" bestFit="1" customWidth="1"/>
    <col min="6409" max="6409" width="18.85546875" style="1328" customWidth="1"/>
    <col min="6410" max="6410" width="15.5703125" style="1328" customWidth="1"/>
    <col min="6411" max="6411" width="16.140625" style="1328" customWidth="1"/>
    <col min="6412" max="6413" width="15" style="1328" customWidth="1"/>
    <col min="6414" max="6414" width="13.5703125" style="1328" customWidth="1"/>
    <col min="6415" max="6415" width="15" style="1328" customWidth="1"/>
    <col min="6416" max="6417" width="17.5703125" style="1328" customWidth="1"/>
    <col min="6418" max="6418" width="33" style="1328" customWidth="1"/>
    <col min="6419" max="6419" width="15" style="1328" customWidth="1"/>
    <col min="6420" max="6421" width="14.5703125" style="1328" bestFit="1" customWidth="1"/>
    <col min="6422" max="6422" width="10.5703125" style="1328" bestFit="1" customWidth="1"/>
    <col min="6423" max="6656" width="10" style="1328"/>
    <col min="6657" max="6657" width="9.42578125" style="1328" customWidth="1"/>
    <col min="6658" max="6658" width="20.85546875" style="1328" customWidth="1"/>
    <col min="6659" max="6659" width="35.5703125" style="1328" customWidth="1"/>
    <col min="6660" max="6660" width="12.85546875" style="1328" customWidth="1"/>
    <col min="6661" max="6661" width="10.42578125" style="1328" customWidth="1"/>
    <col min="6662" max="6662" width="16.42578125" style="1328" customWidth="1"/>
    <col min="6663" max="6663" width="12" style="1328" customWidth="1"/>
    <col min="6664" max="6664" width="14.28515625" style="1328" bestFit="1" customWidth="1"/>
    <col min="6665" max="6665" width="18.85546875" style="1328" customWidth="1"/>
    <col min="6666" max="6666" width="15.5703125" style="1328" customWidth="1"/>
    <col min="6667" max="6667" width="16.140625" style="1328" customWidth="1"/>
    <col min="6668" max="6669" width="15" style="1328" customWidth="1"/>
    <col min="6670" max="6670" width="13.5703125" style="1328" customWidth="1"/>
    <col min="6671" max="6671" width="15" style="1328" customWidth="1"/>
    <col min="6672" max="6673" width="17.5703125" style="1328" customWidth="1"/>
    <col min="6674" max="6674" width="33" style="1328" customWidth="1"/>
    <col min="6675" max="6675" width="15" style="1328" customWidth="1"/>
    <col min="6676" max="6677" width="14.5703125" style="1328" bestFit="1" customWidth="1"/>
    <col min="6678" max="6678" width="10.5703125" style="1328" bestFit="1" customWidth="1"/>
    <col min="6679" max="6912" width="10" style="1328"/>
    <col min="6913" max="6913" width="9.42578125" style="1328" customWidth="1"/>
    <col min="6914" max="6914" width="20.85546875" style="1328" customWidth="1"/>
    <col min="6915" max="6915" width="35.5703125" style="1328" customWidth="1"/>
    <col min="6916" max="6916" width="12.85546875" style="1328" customWidth="1"/>
    <col min="6917" max="6917" width="10.42578125" style="1328" customWidth="1"/>
    <col min="6918" max="6918" width="16.42578125" style="1328" customWidth="1"/>
    <col min="6919" max="6919" width="12" style="1328" customWidth="1"/>
    <col min="6920" max="6920" width="14.28515625" style="1328" bestFit="1" customWidth="1"/>
    <col min="6921" max="6921" width="18.85546875" style="1328" customWidth="1"/>
    <col min="6922" max="6922" width="15.5703125" style="1328" customWidth="1"/>
    <col min="6923" max="6923" width="16.140625" style="1328" customWidth="1"/>
    <col min="6924" max="6925" width="15" style="1328" customWidth="1"/>
    <col min="6926" max="6926" width="13.5703125" style="1328" customWidth="1"/>
    <col min="6927" max="6927" width="15" style="1328" customWidth="1"/>
    <col min="6928" max="6929" width="17.5703125" style="1328" customWidth="1"/>
    <col min="6930" max="6930" width="33" style="1328" customWidth="1"/>
    <col min="6931" max="6931" width="15" style="1328" customWidth="1"/>
    <col min="6932" max="6933" width="14.5703125" style="1328" bestFit="1" customWidth="1"/>
    <col min="6934" max="6934" width="10.5703125" style="1328" bestFit="1" customWidth="1"/>
    <col min="6935" max="7168" width="10" style="1328"/>
    <col min="7169" max="7169" width="9.42578125" style="1328" customWidth="1"/>
    <col min="7170" max="7170" width="20.85546875" style="1328" customWidth="1"/>
    <col min="7171" max="7171" width="35.5703125" style="1328" customWidth="1"/>
    <col min="7172" max="7172" width="12.85546875" style="1328" customWidth="1"/>
    <col min="7173" max="7173" width="10.42578125" style="1328" customWidth="1"/>
    <col min="7174" max="7174" width="16.42578125" style="1328" customWidth="1"/>
    <col min="7175" max="7175" width="12" style="1328" customWidth="1"/>
    <col min="7176" max="7176" width="14.28515625" style="1328" bestFit="1" customWidth="1"/>
    <col min="7177" max="7177" width="18.85546875" style="1328" customWidth="1"/>
    <col min="7178" max="7178" width="15.5703125" style="1328" customWidth="1"/>
    <col min="7179" max="7179" width="16.140625" style="1328" customWidth="1"/>
    <col min="7180" max="7181" width="15" style="1328" customWidth="1"/>
    <col min="7182" max="7182" width="13.5703125" style="1328" customWidth="1"/>
    <col min="7183" max="7183" width="15" style="1328" customWidth="1"/>
    <col min="7184" max="7185" width="17.5703125" style="1328" customWidth="1"/>
    <col min="7186" max="7186" width="33" style="1328" customWidth="1"/>
    <col min="7187" max="7187" width="15" style="1328" customWidth="1"/>
    <col min="7188" max="7189" width="14.5703125" style="1328" bestFit="1" customWidth="1"/>
    <col min="7190" max="7190" width="10.5703125" style="1328" bestFit="1" customWidth="1"/>
    <col min="7191" max="7424" width="10" style="1328"/>
    <col min="7425" max="7425" width="9.42578125" style="1328" customWidth="1"/>
    <col min="7426" max="7426" width="20.85546875" style="1328" customWidth="1"/>
    <col min="7427" max="7427" width="35.5703125" style="1328" customWidth="1"/>
    <col min="7428" max="7428" width="12.85546875" style="1328" customWidth="1"/>
    <col min="7429" max="7429" width="10.42578125" style="1328" customWidth="1"/>
    <col min="7430" max="7430" width="16.42578125" style="1328" customWidth="1"/>
    <col min="7431" max="7431" width="12" style="1328" customWidth="1"/>
    <col min="7432" max="7432" width="14.28515625" style="1328" bestFit="1" customWidth="1"/>
    <col min="7433" max="7433" width="18.85546875" style="1328" customWidth="1"/>
    <col min="7434" max="7434" width="15.5703125" style="1328" customWidth="1"/>
    <col min="7435" max="7435" width="16.140625" style="1328" customWidth="1"/>
    <col min="7436" max="7437" width="15" style="1328" customWidth="1"/>
    <col min="7438" max="7438" width="13.5703125" style="1328" customWidth="1"/>
    <col min="7439" max="7439" width="15" style="1328" customWidth="1"/>
    <col min="7440" max="7441" width="17.5703125" style="1328" customWidth="1"/>
    <col min="7442" max="7442" width="33" style="1328" customWidth="1"/>
    <col min="7443" max="7443" width="15" style="1328" customWidth="1"/>
    <col min="7444" max="7445" width="14.5703125" style="1328" bestFit="1" customWidth="1"/>
    <col min="7446" max="7446" width="10.5703125" style="1328" bestFit="1" customWidth="1"/>
    <col min="7447" max="7680" width="10" style="1328"/>
    <col min="7681" max="7681" width="9.42578125" style="1328" customWidth="1"/>
    <col min="7682" max="7682" width="20.85546875" style="1328" customWidth="1"/>
    <col min="7683" max="7683" width="35.5703125" style="1328" customWidth="1"/>
    <col min="7684" max="7684" width="12.85546875" style="1328" customWidth="1"/>
    <col min="7685" max="7685" width="10.42578125" style="1328" customWidth="1"/>
    <col min="7686" max="7686" width="16.42578125" style="1328" customWidth="1"/>
    <col min="7687" max="7687" width="12" style="1328" customWidth="1"/>
    <col min="7688" max="7688" width="14.28515625" style="1328" bestFit="1" customWidth="1"/>
    <col min="7689" max="7689" width="18.85546875" style="1328" customWidth="1"/>
    <col min="7690" max="7690" width="15.5703125" style="1328" customWidth="1"/>
    <col min="7691" max="7691" width="16.140625" style="1328" customWidth="1"/>
    <col min="7692" max="7693" width="15" style="1328" customWidth="1"/>
    <col min="7694" max="7694" width="13.5703125" style="1328" customWidth="1"/>
    <col min="7695" max="7695" width="15" style="1328" customWidth="1"/>
    <col min="7696" max="7697" width="17.5703125" style="1328" customWidth="1"/>
    <col min="7698" max="7698" width="33" style="1328" customWidth="1"/>
    <col min="7699" max="7699" width="15" style="1328" customWidth="1"/>
    <col min="7700" max="7701" width="14.5703125" style="1328" bestFit="1" customWidth="1"/>
    <col min="7702" max="7702" width="10.5703125" style="1328" bestFit="1" customWidth="1"/>
    <col min="7703" max="7936" width="10" style="1328"/>
    <col min="7937" max="7937" width="9.42578125" style="1328" customWidth="1"/>
    <col min="7938" max="7938" width="20.85546875" style="1328" customWidth="1"/>
    <col min="7939" max="7939" width="35.5703125" style="1328" customWidth="1"/>
    <col min="7940" max="7940" width="12.85546875" style="1328" customWidth="1"/>
    <col min="7941" max="7941" width="10.42578125" style="1328" customWidth="1"/>
    <col min="7942" max="7942" width="16.42578125" style="1328" customWidth="1"/>
    <col min="7943" max="7943" width="12" style="1328" customWidth="1"/>
    <col min="7944" max="7944" width="14.28515625" style="1328" bestFit="1" customWidth="1"/>
    <col min="7945" max="7945" width="18.85546875" style="1328" customWidth="1"/>
    <col min="7946" max="7946" width="15.5703125" style="1328" customWidth="1"/>
    <col min="7947" max="7947" width="16.140625" style="1328" customWidth="1"/>
    <col min="7948" max="7949" width="15" style="1328" customWidth="1"/>
    <col min="7950" max="7950" width="13.5703125" style="1328" customWidth="1"/>
    <col min="7951" max="7951" width="15" style="1328" customWidth="1"/>
    <col min="7952" max="7953" width="17.5703125" style="1328" customWidth="1"/>
    <col min="7954" max="7954" width="33" style="1328" customWidth="1"/>
    <col min="7955" max="7955" width="15" style="1328" customWidth="1"/>
    <col min="7956" max="7957" width="14.5703125" style="1328" bestFit="1" customWidth="1"/>
    <col min="7958" max="7958" width="10.5703125" style="1328" bestFit="1" customWidth="1"/>
    <col min="7959" max="8192" width="10" style="1328"/>
    <col min="8193" max="8193" width="9.42578125" style="1328" customWidth="1"/>
    <col min="8194" max="8194" width="20.85546875" style="1328" customWidth="1"/>
    <col min="8195" max="8195" width="35.5703125" style="1328" customWidth="1"/>
    <col min="8196" max="8196" width="12.85546875" style="1328" customWidth="1"/>
    <col min="8197" max="8197" width="10.42578125" style="1328" customWidth="1"/>
    <col min="8198" max="8198" width="16.42578125" style="1328" customWidth="1"/>
    <col min="8199" max="8199" width="12" style="1328" customWidth="1"/>
    <col min="8200" max="8200" width="14.28515625" style="1328" bestFit="1" customWidth="1"/>
    <col min="8201" max="8201" width="18.85546875" style="1328" customWidth="1"/>
    <col min="8202" max="8202" width="15.5703125" style="1328" customWidth="1"/>
    <col min="8203" max="8203" width="16.140625" style="1328" customWidth="1"/>
    <col min="8204" max="8205" width="15" style="1328" customWidth="1"/>
    <col min="8206" max="8206" width="13.5703125" style="1328" customWidth="1"/>
    <col min="8207" max="8207" width="15" style="1328" customWidth="1"/>
    <col min="8208" max="8209" width="17.5703125" style="1328" customWidth="1"/>
    <col min="8210" max="8210" width="33" style="1328" customWidth="1"/>
    <col min="8211" max="8211" width="15" style="1328" customWidth="1"/>
    <col min="8212" max="8213" width="14.5703125" style="1328" bestFit="1" customWidth="1"/>
    <col min="8214" max="8214" width="10.5703125" style="1328" bestFit="1" customWidth="1"/>
    <col min="8215" max="8448" width="10" style="1328"/>
    <col min="8449" max="8449" width="9.42578125" style="1328" customWidth="1"/>
    <col min="8450" max="8450" width="20.85546875" style="1328" customWidth="1"/>
    <col min="8451" max="8451" width="35.5703125" style="1328" customWidth="1"/>
    <col min="8452" max="8452" width="12.85546875" style="1328" customWidth="1"/>
    <col min="8453" max="8453" width="10.42578125" style="1328" customWidth="1"/>
    <col min="8454" max="8454" width="16.42578125" style="1328" customWidth="1"/>
    <col min="8455" max="8455" width="12" style="1328" customWidth="1"/>
    <col min="8456" max="8456" width="14.28515625" style="1328" bestFit="1" customWidth="1"/>
    <col min="8457" max="8457" width="18.85546875" style="1328" customWidth="1"/>
    <col min="8458" max="8458" width="15.5703125" style="1328" customWidth="1"/>
    <col min="8459" max="8459" width="16.140625" style="1328" customWidth="1"/>
    <col min="8460" max="8461" width="15" style="1328" customWidth="1"/>
    <col min="8462" max="8462" width="13.5703125" style="1328" customWidth="1"/>
    <col min="8463" max="8463" width="15" style="1328" customWidth="1"/>
    <col min="8464" max="8465" width="17.5703125" style="1328" customWidth="1"/>
    <col min="8466" max="8466" width="33" style="1328" customWidth="1"/>
    <col min="8467" max="8467" width="15" style="1328" customWidth="1"/>
    <col min="8468" max="8469" width="14.5703125" style="1328" bestFit="1" customWidth="1"/>
    <col min="8470" max="8470" width="10.5703125" style="1328" bestFit="1" customWidth="1"/>
    <col min="8471" max="8704" width="10" style="1328"/>
    <col min="8705" max="8705" width="9.42578125" style="1328" customWidth="1"/>
    <col min="8706" max="8706" width="20.85546875" style="1328" customWidth="1"/>
    <col min="8707" max="8707" width="35.5703125" style="1328" customWidth="1"/>
    <col min="8708" max="8708" width="12.85546875" style="1328" customWidth="1"/>
    <col min="8709" max="8709" width="10.42578125" style="1328" customWidth="1"/>
    <col min="8710" max="8710" width="16.42578125" style="1328" customWidth="1"/>
    <col min="8711" max="8711" width="12" style="1328" customWidth="1"/>
    <col min="8712" max="8712" width="14.28515625" style="1328" bestFit="1" customWidth="1"/>
    <col min="8713" max="8713" width="18.85546875" style="1328" customWidth="1"/>
    <col min="8714" max="8714" width="15.5703125" style="1328" customWidth="1"/>
    <col min="8715" max="8715" width="16.140625" style="1328" customWidth="1"/>
    <col min="8716" max="8717" width="15" style="1328" customWidth="1"/>
    <col min="8718" max="8718" width="13.5703125" style="1328" customWidth="1"/>
    <col min="8719" max="8719" width="15" style="1328" customWidth="1"/>
    <col min="8720" max="8721" width="17.5703125" style="1328" customWidth="1"/>
    <col min="8722" max="8722" width="33" style="1328" customWidth="1"/>
    <col min="8723" max="8723" width="15" style="1328" customWidth="1"/>
    <col min="8724" max="8725" width="14.5703125" style="1328" bestFit="1" customWidth="1"/>
    <col min="8726" max="8726" width="10.5703125" style="1328" bestFit="1" customWidth="1"/>
    <col min="8727" max="8960" width="10" style="1328"/>
    <col min="8961" max="8961" width="9.42578125" style="1328" customWidth="1"/>
    <col min="8962" max="8962" width="20.85546875" style="1328" customWidth="1"/>
    <col min="8963" max="8963" width="35.5703125" style="1328" customWidth="1"/>
    <col min="8964" max="8964" width="12.85546875" style="1328" customWidth="1"/>
    <col min="8965" max="8965" width="10.42578125" style="1328" customWidth="1"/>
    <col min="8966" max="8966" width="16.42578125" style="1328" customWidth="1"/>
    <col min="8967" max="8967" width="12" style="1328" customWidth="1"/>
    <col min="8968" max="8968" width="14.28515625" style="1328" bestFit="1" customWidth="1"/>
    <col min="8969" max="8969" width="18.85546875" style="1328" customWidth="1"/>
    <col min="8970" max="8970" width="15.5703125" style="1328" customWidth="1"/>
    <col min="8971" max="8971" width="16.140625" style="1328" customWidth="1"/>
    <col min="8972" max="8973" width="15" style="1328" customWidth="1"/>
    <col min="8974" max="8974" width="13.5703125" style="1328" customWidth="1"/>
    <col min="8975" max="8975" width="15" style="1328" customWidth="1"/>
    <col min="8976" max="8977" width="17.5703125" style="1328" customWidth="1"/>
    <col min="8978" max="8978" width="33" style="1328" customWidth="1"/>
    <col min="8979" max="8979" width="15" style="1328" customWidth="1"/>
    <col min="8980" max="8981" width="14.5703125" style="1328" bestFit="1" customWidth="1"/>
    <col min="8982" max="8982" width="10.5703125" style="1328" bestFit="1" customWidth="1"/>
    <col min="8983" max="9216" width="10" style="1328"/>
    <col min="9217" max="9217" width="9.42578125" style="1328" customWidth="1"/>
    <col min="9218" max="9218" width="20.85546875" style="1328" customWidth="1"/>
    <col min="9219" max="9219" width="35.5703125" style="1328" customWidth="1"/>
    <col min="9220" max="9220" width="12.85546875" style="1328" customWidth="1"/>
    <col min="9221" max="9221" width="10.42578125" style="1328" customWidth="1"/>
    <col min="9222" max="9222" width="16.42578125" style="1328" customWidth="1"/>
    <col min="9223" max="9223" width="12" style="1328" customWidth="1"/>
    <col min="9224" max="9224" width="14.28515625" style="1328" bestFit="1" customWidth="1"/>
    <col min="9225" max="9225" width="18.85546875" style="1328" customWidth="1"/>
    <col min="9226" max="9226" width="15.5703125" style="1328" customWidth="1"/>
    <col min="9227" max="9227" width="16.140625" style="1328" customWidth="1"/>
    <col min="9228" max="9229" width="15" style="1328" customWidth="1"/>
    <col min="9230" max="9230" width="13.5703125" style="1328" customWidth="1"/>
    <col min="9231" max="9231" width="15" style="1328" customWidth="1"/>
    <col min="9232" max="9233" width="17.5703125" style="1328" customWidth="1"/>
    <col min="9234" max="9234" width="33" style="1328" customWidth="1"/>
    <col min="9235" max="9235" width="15" style="1328" customWidth="1"/>
    <col min="9236" max="9237" width="14.5703125" style="1328" bestFit="1" customWidth="1"/>
    <col min="9238" max="9238" width="10.5703125" style="1328" bestFit="1" customWidth="1"/>
    <col min="9239" max="9472" width="10" style="1328"/>
    <col min="9473" max="9473" width="9.42578125" style="1328" customWidth="1"/>
    <col min="9474" max="9474" width="20.85546875" style="1328" customWidth="1"/>
    <col min="9475" max="9475" width="35.5703125" style="1328" customWidth="1"/>
    <col min="9476" max="9476" width="12.85546875" style="1328" customWidth="1"/>
    <col min="9477" max="9477" width="10.42578125" style="1328" customWidth="1"/>
    <col min="9478" max="9478" width="16.42578125" style="1328" customWidth="1"/>
    <col min="9479" max="9479" width="12" style="1328" customWidth="1"/>
    <col min="9480" max="9480" width="14.28515625" style="1328" bestFit="1" customWidth="1"/>
    <col min="9481" max="9481" width="18.85546875" style="1328" customWidth="1"/>
    <col min="9482" max="9482" width="15.5703125" style="1328" customWidth="1"/>
    <col min="9483" max="9483" width="16.140625" style="1328" customWidth="1"/>
    <col min="9484" max="9485" width="15" style="1328" customWidth="1"/>
    <col min="9486" max="9486" width="13.5703125" style="1328" customWidth="1"/>
    <col min="9487" max="9487" width="15" style="1328" customWidth="1"/>
    <col min="9488" max="9489" width="17.5703125" style="1328" customWidth="1"/>
    <col min="9490" max="9490" width="33" style="1328" customWidth="1"/>
    <col min="9491" max="9491" width="15" style="1328" customWidth="1"/>
    <col min="9492" max="9493" width="14.5703125" style="1328" bestFit="1" customWidth="1"/>
    <col min="9494" max="9494" width="10.5703125" style="1328" bestFit="1" customWidth="1"/>
    <col min="9495" max="9728" width="10" style="1328"/>
    <col min="9729" max="9729" width="9.42578125" style="1328" customWidth="1"/>
    <col min="9730" max="9730" width="20.85546875" style="1328" customWidth="1"/>
    <col min="9731" max="9731" width="35.5703125" style="1328" customWidth="1"/>
    <col min="9732" max="9732" width="12.85546875" style="1328" customWidth="1"/>
    <col min="9733" max="9733" width="10.42578125" style="1328" customWidth="1"/>
    <col min="9734" max="9734" width="16.42578125" style="1328" customWidth="1"/>
    <col min="9735" max="9735" width="12" style="1328" customWidth="1"/>
    <col min="9736" max="9736" width="14.28515625" style="1328" bestFit="1" customWidth="1"/>
    <col min="9737" max="9737" width="18.85546875" style="1328" customWidth="1"/>
    <col min="9738" max="9738" width="15.5703125" style="1328" customWidth="1"/>
    <col min="9739" max="9739" width="16.140625" style="1328" customWidth="1"/>
    <col min="9740" max="9741" width="15" style="1328" customWidth="1"/>
    <col min="9742" max="9742" width="13.5703125" style="1328" customWidth="1"/>
    <col min="9743" max="9743" width="15" style="1328" customWidth="1"/>
    <col min="9744" max="9745" width="17.5703125" style="1328" customWidth="1"/>
    <col min="9746" max="9746" width="33" style="1328" customWidth="1"/>
    <col min="9747" max="9747" width="15" style="1328" customWidth="1"/>
    <col min="9748" max="9749" width="14.5703125" style="1328" bestFit="1" customWidth="1"/>
    <col min="9750" max="9750" width="10.5703125" style="1328" bestFit="1" customWidth="1"/>
    <col min="9751" max="9984" width="10" style="1328"/>
    <col min="9985" max="9985" width="9.42578125" style="1328" customWidth="1"/>
    <col min="9986" max="9986" width="20.85546875" style="1328" customWidth="1"/>
    <col min="9987" max="9987" width="35.5703125" style="1328" customWidth="1"/>
    <col min="9988" max="9988" width="12.85546875" style="1328" customWidth="1"/>
    <col min="9989" max="9989" width="10.42578125" style="1328" customWidth="1"/>
    <col min="9990" max="9990" width="16.42578125" style="1328" customWidth="1"/>
    <col min="9991" max="9991" width="12" style="1328" customWidth="1"/>
    <col min="9992" max="9992" width="14.28515625" style="1328" bestFit="1" customWidth="1"/>
    <col min="9993" max="9993" width="18.85546875" style="1328" customWidth="1"/>
    <col min="9994" max="9994" width="15.5703125" style="1328" customWidth="1"/>
    <col min="9995" max="9995" width="16.140625" style="1328" customWidth="1"/>
    <col min="9996" max="9997" width="15" style="1328" customWidth="1"/>
    <col min="9998" max="9998" width="13.5703125" style="1328" customWidth="1"/>
    <col min="9999" max="9999" width="15" style="1328" customWidth="1"/>
    <col min="10000" max="10001" width="17.5703125" style="1328" customWidth="1"/>
    <col min="10002" max="10002" width="33" style="1328" customWidth="1"/>
    <col min="10003" max="10003" width="15" style="1328" customWidth="1"/>
    <col min="10004" max="10005" width="14.5703125" style="1328" bestFit="1" customWidth="1"/>
    <col min="10006" max="10006" width="10.5703125" style="1328" bestFit="1" customWidth="1"/>
    <col min="10007" max="10240" width="10" style="1328"/>
    <col min="10241" max="10241" width="9.42578125" style="1328" customWidth="1"/>
    <col min="10242" max="10242" width="20.85546875" style="1328" customWidth="1"/>
    <col min="10243" max="10243" width="35.5703125" style="1328" customWidth="1"/>
    <col min="10244" max="10244" width="12.85546875" style="1328" customWidth="1"/>
    <col min="10245" max="10245" width="10.42578125" style="1328" customWidth="1"/>
    <col min="10246" max="10246" width="16.42578125" style="1328" customWidth="1"/>
    <col min="10247" max="10247" width="12" style="1328" customWidth="1"/>
    <col min="10248" max="10248" width="14.28515625" style="1328" bestFit="1" customWidth="1"/>
    <col min="10249" max="10249" width="18.85546875" style="1328" customWidth="1"/>
    <col min="10250" max="10250" width="15.5703125" style="1328" customWidth="1"/>
    <col min="10251" max="10251" width="16.140625" style="1328" customWidth="1"/>
    <col min="10252" max="10253" width="15" style="1328" customWidth="1"/>
    <col min="10254" max="10254" width="13.5703125" style="1328" customWidth="1"/>
    <col min="10255" max="10255" width="15" style="1328" customWidth="1"/>
    <col min="10256" max="10257" width="17.5703125" style="1328" customWidth="1"/>
    <col min="10258" max="10258" width="33" style="1328" customWidth="1"/>
    <col min="10259" max="10259" width="15" style="1328" customWidth="1"/>
    <col min="10260" max="10261" width="14.5703125" style="1328" bestFit="1" customWidth="1"/>
    <col min="10262" max="10262" width="10.5703125" style="1328" bestFit="1" customWidth="1"/>
    <col min="10263" max="10496" width="10" style="1328"/>
    <col min="10497" max="10497" width="9.42578125" style="1328" customWidth="1"/>
    <col min="10498" max="10498" width="20.85546875" style="1328" customWidth="1"/>
    <col min="10499" max="10499" width="35.5703125" style="1328" customWidth="1"/>
    <col min="10500" max="10500" width="12.85546875" style="1328" customWidth="1"/>
    <col min="10501" max="10501" width="10.42578125" style="1328" customWidth="1"/>
    <col min="10502" max="10502" width="16.42578125" style="1328" customWidth="1"/>
    <col min="10503" max="10503" width="12" style="1328" customWidth="1"/>
    <col min="10504" max="10504" width="14.28515625" style="1328" bestFit="1" customWidth="1"/>
    <col min="10505" max="10505" width="18.85546875" style="1328" customWidth="1"/>
    <col min="10506" max="10506" width="15.5703125" style="1328" customWidth="1"/>
    <col min="10507" max="10507" width="16.140625" style="1328" customWidth="1"/>
    <col min="10508" max="10509" width="15" style="1328" customWidth="1"/>
    <col min="10510" max="10510" width="13.5703125" style="1328" customWidth="1"/>
    <col min="10511" max="10511" width="15" style="1328" customWidth="1"/>
    <col min="10512" max="10513" width="17.5703125" style="1328" customWidth="1"/>
    <col min="10514" max="10514" width="33" style="1328" customWidth="1"/>
    <col min="10515" max="10515" width="15" style="1328" customWidth="1"/>
    <col min="10516" max="10517" width="14.5703125" style="1328" bestFit="1" customWidth="1"/>
    <col min="10518" max="10518" width="10.5703125" style="1328" bestFit="1" customWidth="1"/>
    <col min="10519" max="10752" width="10" style="1328"/>
    <col min="10753" max="10753" width="9.42578125" style="1328" customWidth="1"/>
    <col min="10754" max="10754" width="20.85546875" style="1328" customWidth="1"/>
    <col min="10755" max="10755" width="35.5703125" style="1328" customWidth="1"/>
    <col min="10756" max="10756" width="12.85546875" style="1328" customWidth="1"/>
    <col min="10757" max="10757" width="10.42578125" style="1328" customWidth="1"/>
    <col min="10758" max="10758" width="16.42578125" style="1328" customWidth="1"/>
    <col min="10759" max="10759" width="12" style="1328" customWidth="1"/>
    <col min="10760" max="10760" width="14.28515625" style="1328" bestFit="1" customWidth="1"/>
    <col min="10761" max="10761" width="18.85546875" style="1328" customWidth="1"/>
    <col min="10762" max="10762" width="15.5703125" style="1328" customWidth="1"/>
    <col min="10763" max="10763" width="16.140625" style="1328" customWidth="1"/>
    <col min="10764" max="10765" width="15" style="1328" customWidth="1"/>
    <col min="10766" max="10766" width="13.5703125" style="1328" customWidth="1"/>
    <col min="10767" max="10767" width="15" style="1328" customWidth="1"/>
    <col min="10768" max="10769" width="17.5703125" style="1328" customWidth="1"/>
    <col min="10770" max="10770" width="33" style="1328" customWidth="1"/>
    <col min="10771" max="10771" width="15" style="1328" customWidth="1"/>
    <col min="10772" max="10773" width="14.5703125" style="1328" bestFit="1" customWidth="1"/>
    <col min="10774" max="10774" width="10.5703125" style="1328" bestFit="1" customWidth="1"/>
    <col min="10775" max="11008" width="10" style="1328"/>
    <col min="11009" max="11009" width="9.42578125" style="1328" customWidth="1"/>
    <col min="11010" max="11010" width="20.85546875" style="1328" customWidth="1"/>
    <col min="11011" max="11011" width="35.5703125" style="1328" customWidth="1"/>
    <col min="11012" max="11012" width="12.85546875" style="1328" customWidth="1"/>
    <col min="11013" max="11013" width="10.42578125" style="1328" customWidth="1"/>
    <col min="11014" max="11014" width="16.42578125" style="1328" customWidth="1"/>
    <col min="11015" max="11015" width="12" style="1328" customWidth="1"/>
    <col min="11016" max="11016" width="14.28515625" style="1328" bestFit="1" customWidth="1"/>
    <col min="11017" max="11017" width="18.85546875" style="1328" customWidth="1"/>
    <col min="11018" max="11018" width="15.5703125" style="1328" customWidth="1"/>
    <col min="11019" max="11019" width="16.140625" style="1328" customWidth="1"/>
    <col min="11020" max="11021" width="15" style="1328" customWidth="1"/>
    <col min="11022" max="11022" width="13.5703125" style="1328" customWidth="1"/>
    <col min="11023" max="11023" width="15" style="1328" customWidth="1"/>
    <col min="11024" max="11025" width="17.5703125" style="1328" customWidth="1"/>
    <col min="11026" max="11026" width="33" style="1328" customWidth="1"/>
    <col min="11027" max="11027" width="15" style="1328" customWidth="1"/>
    <col min="11028" max="11029" width="14.5703125" style="1328" bestFit="1" customWidth="1"/>
    <col min="11030" max="11030" width="10.5703125" style="1328" bestFit="1" customWidth="1"/>
    <col min="11031" max="11264" width="10" style="1328"/>
    <col min="11265" max="11265" width="9.42578125" style="1328" customWidth="1"/>
    <col min="11266" max="11266" width="20.85546875" style="1328" customWidth="1"/>
    <col min="11267" max="11267" width="35.5703125" style="1328" customWidth="1"/>
    <col min="11268" max="11268" width="12.85546875" style="1328" customWidth="1"/>
    <col min="11269" max="11269" width="10.42578125" style="1328" customWidth="1"/>
    <col min="11270" max="11270" width="16.42578125" style="1328" customWidth="1"/>
    <col min="11271" max="11271" width="12" style="1328" customWidth="1"/>
    <col min="11272" max="11272" width="14.28515625" style="1328" bestFit="1" customWidth="1"/>
    <col min="11273" max="11273" width="18.85546875" style="1328" customWidth="1"/>
    <col min="11274" max="11274" width="15.5703125" style="1328" customWidth="1"/>
    <col min="11275" max="11275" width="16.140625" style="1328" customWidth="1"/>
    <col min="11276" max="11277" width="15" style="1328" customWidth="1"/>
    <col min="11278" max="11278" width="13.5703125" style="1328" customWidth="1"/>
    <col min="11279" max="11279" width="15" style="1328" customWidth="1"/>
    <col min="11280" max="11281" width="17.5703125" style="1328" customWidth="1"/>
    <col min="11282" max="11282" width="33" style="1328" customWidth="1"/>
    <col min="11283" max="11283" width="15" style="1328" customWidth="1"/>
    <col min="11284" max="11285" width="14.5703125" style="1328" bestFit="1" customWidth="1"/>
    <col min="11286" max="11286" width="10.5703125" style="1328" bestFit="1" customWidth="1"/>
    <col min="11287" max="11520" width="10" style="1328"/>
    <col min="11521" max="11521" width="9.42578125" style="1328" customWidth="1"/>
    <col min="11522" max="11522" width="20.85546875" style="1328" customWidth="1"/>
    <col min="11523" max="11523" width="35.5703125" style="1328" customWidth="1"/>
    <col min="11524" max="11524" width="12.85546875" style="1328" customWidth="1"/>
    <col min="11525" max="11525" width="10.42578125" style="1328" customWidth="1"/>
    <col min="11526" max="11526" width="16.42578125" style="1328" customWidth="1"/>
    <col min="11527" max="11527" width="12" style="1328" customWidth="1"/>
    <col min="11528" max="11528" width="14.28515625" style="1328" bestFit="1" customWidth="1"/>
    <col min="11529" max="11529" width="18.85546875" style="1328" customWidth="1"/>
    <col min="11530" max="11530" width="15.5703125" style="1328" customWidth="1"/>
    <col min="11531" max="11531" width="16.140625" style="1328" customWidth="1"/>
    <col min="11532" max="11533" width="15" style="1328" customWidth="1"/>
    <col min="11534" max="11534" width="13.5703125" style="1328" customWidth="1"/>
    <col min="11535" max="11535" width="15" style="1328" customWidth="1"/>
    <col min="11536" max="11537" width="17.5703125" style="1328" customWidth="1"/>
    <col min="11538" max="11538" width="33" style="1328" customWidth="1"/>
    <col min="11539" max="11539" width="15" style="1328" customWidth="1"/>
    <col min="11540" max="11541" width="14.5703125" style="1328" bestFit="1" customWidth="1"/>
    <col min="11542" max="11542" width="10.5703125" style="1328" bestFit="1" customWidth="1"/>
    <col min="11543" max="11776" width="10" style="1328"/>
    <col min="11777" max="11777" width="9.42578125" style="1328" customWidth="1"/>
    <col min="11778" max="11778" width="20.85546875" style="1328" customWidth="1"/>
    <col min="11779" max="11779" width="35.5703125" style="1328" customWidth="1"/>
    <col min="11780" max="11780" width="12.85546875" style="1328" customWidth="1"/>
    <col min="11781" max="11781" width="10.42578125" style="1328" customWidth="1"/>
    <col min="11782" max="11782" width="16.42578125" style="1328" customWidth="1"/>
    <col min="11783" max="11783" width="12" style="1328" customWidth="1"/>
    <col min="11784" max="11784" width="14.28515625" style="1328" bestFit="1" customWidth="1"/>
    <col min="11785" max="11785" width="18.85546875" style="1328" customWidth="1"/>
    <col min="11786" max="11786" width="15.5703125" style="1328" customWidth="1"/>
    <col min="11787" max="11787" width="16.140625" style="1328" customWidth="1"/>
    <col min="11788" max="11789" width="15" style="1328" customWidth="1"/>
    <col min="11790" max="11790" width="13.5703125" style="1328" customWidth="1"/>
    <col min="11791" max="11791" width="15" style="1328" customWidth="1"/>
    <col min="11792" max="11793" width="17.5703125" style="1328" customWidth="1"/>
    <col min="11794" max="11794" width="33" style="1328" customWidth="1"/>
    <col min="11795" max="11795" width="15" style="1328" customWidth="1"/>
    <col min="11796" max="11797" width="14.5703125" style="1328" bestFit="1" customWidth="1"/>
    <col min="11798" max="11798" width="10.5703125" style="1328" bestFit="1" customWidth="1"/>
    <col min="11799" max="12032" width="10" style="1328"/>
    <col min="12033" max="12033" width="9.42578125" style="1328" customWidth="1"/>
    <col min="12034" max="12034" width="20.85546875" style="1328" customWidth="1"/>
    <col min="12035" max="12035" width="35.5703125" style="1328" customWidth="1"/>
    <col min="12036" max="12036" width="12.85546875" style="1328" customWidth="1"/>
    <col min="12037" max="12037" width="10.42578125" style="1328" customWidth="1"/>
    <col min="12038" max="12038" width="16.42578125" style="1328" customWidth="1"/>
    <col min="12039" max="12039" width="12" style="1328" customWidth="1"/>
    <col min="12040" max="12040" width="14.28515625" style="1328" bestFit="1" customWidth="1"/>
    <col min="12041" max="12041" width="18.85546875" style="1328" customWidth="1"/>
    <col min="12042" max="12042" width="15.5703125" style="1328" customWidth="1"/>
    <col min="12043" max="12043" width="16.140625" style="1328" customWidth="1"/>
    <col min="12044" max="12045" width="15" style="1328" customWidth="1"/>
    <col min="12046" max="12046" width="13.5703125" style="1328" customWidth="1"/>
    <col min="12047" max="12047" width="15" style="1328" customWidth="1"/>
    <col min="12048" max="12049" width="17.5703125" style="1328" customWidth="1"/>
    <col min="12050" max="12050" width="33" style="1328" customWidth="1"/>
    <col min="12051" max="12051" width="15" style="1328" customWidth="1"/>
    <col min="12052" max="12053" width="14.5703125" style="1328" bestFit="1" customWidth="1"/>
    <col min="12054" max="12054" width="10.5703125" style="1328" bestFit="1" customWidth="1"/>
    <col min="12055" max="12288" width="10" style="1328"/>
    <col min="12289" max="12289" width="9.42578125" style="1328" customWidth="1"/>
    <col min="12290" max="12290" width="20.85546875" style="1328" customWidth="1"/>
    <col min="12291" max="12291" width="35.5703125" style="1328" customWidth="1"/>
    <col min="12292" max="12292" width="12.85546875" style="1328" customWidth="1"/>
    <col min="12293" max="12293" width="10.42578125" style="1328" customWidth="1"/>
    <col min="12294" max="12294" width="16.42578125" style="1328" customWidth="1"/>
    <col min="12295" max="12295" width="12" style="1328" customWidth="1"/>
    <col min="12296" max="12296" width="14.28515625" style="1328" bestFit="1" customWidth="1"/>
    <col min="12297" max="12297" width="18.85546875" style="1328" customWidth="1"/>
    <col min="12298" max="12298" width="15.5703125" style="1328" customWidth="1"/>
    <col min="12299" max="12299" width="16.140625" style="1328" customWidth="1"/>
    <col min="12300" max="12301" width="15" style="1328" customWidth="1"/>
    <col min="12302" max="12302" width="13.5703125" style="1328" customWidth="1"/>
    <col min="12303" max="12303" width="15" style="1328" customWidth="1"/>
    <col min="12304" max="12305" width="17.5703125" style="1328" customWidth="1"/>
    <col min="12306" max="12306" width="33" style="1328" customWidth="1"/>
    <col min="12307" max="12307" width="15" style="1328" customWidth="1"/>
    <col min="12308" max="12309" width="14.5703125" style="1328" bestFit="1" customWidth="1"/>
    <col min="12310" max="12310" width="10.5703125" style="1328" bestFit="1" customWidth="1"/>
    <col min="12311" max="12544" width="10" style="1328"/>
    <col min="12545" max="12545" width="9.42578125" style="1328" customWidth="1"/>
    <col min="12546" max="12546" width="20.85546875" style="1328" customWidth="1"/>
    <col min="12547" max="12547" width="35.5703125" style="1328" customWidth="1"/>
    <col min="12548" max="12548" width="12.85546875" style="1328" customWidth="1"/>
    <col min="12549" max="12549" width="10.42578125" style="1328" customWidth="1"/>
    <col min="12550" max="12550" width="16.42578125" style="1328" customWidth="1"/>
    <col min="12551" max="12551" width="12" style="1328" customWidth="1"/>
    <col min="12552" max="12552" width="14.28515625" style="1328" bestFit="1" customWidth="1"/>
    <col min="12553" max="12553" width="18.85546875" style="1328" customWidth="1"/>
    <col min="12554" max="12554" width="15.5703125" style="1328" customWidth="1"/>
    <col min="12555" max="12555" width="16.140625" style="1328" customWidth="1"/>
    <col min="12556" max="12557" width="15" style="1328" customWidth="1"/>
    <col min="12558" max="12558" width="13.5703125" style="1328" customWidth="1"/>
    <col min="12559" max="12559" width="15" style="1328" customWidth="1"/>
    <col min="12560" max="12561" width="17.5703125" style="1328" customWidth="1"/>
    <col min="12562" max="12562" width="33" style="1328" customWidth="1"/>
    <col min="12563" max="12563" width="15" style="1328" customWidth="1"/>
    <col min="12564" max="12565" width="14.5703125" style="1328" bestFit="1" customWidth="1"/>
    <col min="12566" max="12566" width="10.5703125" style="1328" bestFit="1" customWidth="1"/>
    <col min="12567" max="12800" width="10" style="1328"/>
    <col min="12801" max="12801" width="9.42578125" style="1328" customWidth="1"/>
    <col min="12802" max="12802" width="20.85546875" style="1328" customWidth="1"/>
    <col min="12803" max="12803" width="35.5703125" style="1328" customWidth="1"/>
    <col min="12804" max="12804" width="12.85546875" style="1328" customWidth="1"/>
    <col min="12805" max="12805" width="10.42578125" style="1328" customWidth="1"/>
    <col min="12806" max="12806" width="16.42578125" style="1328" customWidth="1"/>
    <col min="12807" max="12807" width="12" style="1328" customWidth="1"/>
    <col min="12808" max="12808" width="14.28515625" style="1328" bestFit="1" customWidth="1"/>
    <col min="12809" max="12809" width="18.85546875" style="1328" customWidth="1"/>
    <col min="12810" max="12810" width="15.5703125" style="1328" customWidth="1"/>
    <col min="12811" max="12811" width="16.140625" style="1328" customWidth="1"/>
    <col min="12812" max="12813" width="15" style="1328" customWidth="1"/>
    <col min="12814" max="12814" width="13.5703125" style="1328" customWidth="1"/>
    <col min="12815" max="12815" width="15" style="1328" customWidth="1"/>
    <col min="12816" max="12817" width="17.5703125" style="1328" customWidth="1"/>
    <col min="12818" max="12818" width="33" style="1328" customWidth="1"/>
    <col min="12819" max="12819" width="15" style="1328" customWidth="1"/>
    <col min="12820" max="12821" width="14.5703125" style="1328" bestFit="1" customWidth="1"/>
    <col min="12822" max="12822" width="10.5703125" style="1328" bestFit="1" customWidth="1"/>
    <col min="12823" max="13056" width="10" style="1328"/>
    <col min="13057" max="13057" width="9.42578125" style="1328" customWidth="1"/>
    <col min="13058" max="13058" width="20.85546875" style="1328" customWidth="1"/>
    <col min="13059" max="13059" width="35.5703125" style="1328" customWidth="1"/>
    <col min="13060" max="13060" width="12.85546875" style="1328" customWidth="1"/>
    <col min="13061" max="13061" width="10.42578125" style="1328" customWidth="1"/>
    <col min="13062" max="13062" width="16.42578125" style="1328" customWidth="1"/>
    <col min="13063" max="13063" width="12" style="1328" customWidth="1"/>
    <col min="13064" max="13064" width="14.28515625" style="1328" bestFit="1" customWidth="1"/>
    <col min="13065" max="13065" width="18.85546875" style="1328" customWidth="1"/>
    <col min="13066" max="13066" width="15.5703125" style="1328" customWidth="1"/>
    <col min="13067" max="13067" width="16.140625" style="1328" customWidth="1"/>
    <col min="13068" max="13069" width="15" style="1328" customWidth="1"/>
    <col min="13070" max="13070" width="13.5703125" style="1328" customWidth="1"/>
    <col min="13071" max="13071" width="15" style="1328" customWidth="1"/>
    <col min="13072" max="13073" width="17.5703125" style="1328" customWidth="1"/>
    <col min="13074" max="13074" width="33" style="1328" customWidth="1"/>
    <col min="13075" max="13075" width="15" style="1328" customWidth="1"/>
    <col min="13076" max="13077" width="14.5703125" style="1328" bestFit="1" customWidth="1"/>
    <col min="13078" max="13078" width="10.5703125" style="1328" bestFit="1" customWidth="1"/>
    <col min="13079" max="13312" width="10" style="1328"/>
    <col min="13313" max="13313" width="9.42578125" style="1328" customWidth="1"/>
    <col min="13314" max="13314" width="20.85546875" style="1328" customWidth="1"/>
    <col min="13315" max="13315" width="35.5703125" style="1328" customWidth="1"/>
    <col min="13316" max="13316" width="12.85546875" style="1328" customWidth="1"/>
    <col min="13317" max="13317" width="10.42578125" style="1328" customWidth="1"/>
    <col min="13318" max="13318" width="16.42578125" style="1328" customWidth="1"/>
    <col min="13319" max="13319" width="12" style="1328" customWidth="1"/>
    <col min="13320" max="13320" width="14.28515625" style="1328" bestFit="1" customWidth="1"/>
    <col min="13321" max="13321" width="18.85546875" style="1328" customWidth="1"/>
    <col min="13322" max="13322" width="15.5703125" style="1328" customWidth="1"/>
    <col min="13323" max="13323" width="16.140625" style="1328" customWidth="1"/>
    <col min="13324" max="13325" width="15" style="1328" customWidth="1"/>
    <col min="13326" max="13326" width="13.5703125" style="1328" customWidth="1"/>
    <col min="13327" max="13327" width="15" style="1328" customWidth="1"/>
    <col min="13328" max="13329" width="17.5703125" style="1328" customWidth="1"/>
    <col min="13330" max="13330" width="33" style="1328" customWidth="1"/>
    <col min="13331" max="13331" width="15" style="1328" customWidth="1"/>
    <col min="13332" max="13333" width="14.5703125" style="1328" bestFit="1" customWidth="1"/>
    <col min="13334" max="13334" width="10.5703125" style="1328" bestFit="1" customWidth="1"/>
    <col min="13335" max="13568" width="10" style="1328"/>
    <col min="13569" max="13569" width="9.42578125" style="1328" customWidth="1"/>
    <col min="13570" max="13570" width="20.85546875" style="1328" customWidth="1"/>
    <col min="13571" max="13571" width="35.5703125" style="1328" customWidth="1"/>
    <col min="13572" max="13572" width="12.85546875" style="1328" customWidth="1"/>
    <col min="13573" max="13573" width="10.42578125" style="1328" customWidth="1"/>
    <col min="13574" max="13574" width="16.42578125" style="1328" customWidth="1"/>
    <col min="13575" max="13575" width="12" style="1328" customWidth="1"/>
    <col min="13576" max="13576" width="14.28515625" style="1328" bestFit="1" customWidth="1"/>
    <col min="13577" max="13577" width="18.85546875" style="1328" customWidth="1"/>
    <col min="13578" max="13578" width="15.5703125" style="1328" customWidth="1"/>
    <col min="13579" max="13579" width="16.140625" style="1328" customWidth="1"/>
    <col min="13580" max="13581" width="15" style="1328" customWidth="1"/>
    <col min="13582" max="13582" width="13.5703125" style="1328" customWidth="1"/>
    <col min="13583" max="13583" width="15" style="1328" customWidth="1"/>
    <col min="13584" max="13585" width="17.5703125" style="1328" customWidth="1"/>
    <col min="13586" max="13586" width="33" style="1328" customWidth="1"/>
    <col min="13587" max="13587" width="15" style="1328" customWidth="1"/>
    <col min="13588" max="13589" width="14.5703125" style="1328" bestFit="1" customWidth="1"/>
    <col min="13590" max="13590" width="10.5703125" style="1328" bestFit="1" customWidth="1"/>
    <col min="13591" max="13824" width="10" style="1328"/>
    <col min="13825" max="13825" width="9.42578125" style="1328" customWidth="1"/>
    <col min="13826" max="13826" width="20.85546875" style="1328" customWidth="1"/>
    <col min="13827" max="13827" width="35.5703125" style="1328" customWidth="1"/>
    <col min="13828" max="13828" width="12.85546875" style="1328" customWidth="1"/>
    <col min="13829" max="13829" width="10.42578125" style="1328" customWidth="1"/>
    <col min="13830" max="13830" width="16.42578125" style="1328" customWidth="1"/>
    <col min="13831" max="13831" width="12" style="1328" customWidth="1"/>
    <col min="13832" max="13832" width="14.28515625" style="1328" bestFit="1" customWidth="1"/>
    <col min="13833" max="13833" width="18.85546875" style="1328" customWidth="1"/>
    <col min="13834" max="13834" width="15.5703125" style="1328" customWidth="1"/>
    <col min="13835" max="13835" width="16.140625" style="1328" customWidth="1"/>
    <col min="13836" max="13837" width="15" style="1328" customWidth="1"/>
    <col min="13838" max="13838" width="13.5703125" style="1328" customWidth="1"/>
    <col min="13839" max="13839" width="15" style="1328" customWidth="1"/>
    <col min="13840" max="13841" width="17.5703125" style="1328" customWidth="1"/>
    <col min="13842" max="13842" width="33" style="1328" customWidth="1"/>
    <col min="13843" max="13843" width="15" style="1328" customWidth="1"/>
    <col min="13844" max="13845" width="14.5703125" style="1328" bestFit="1" customWidth="1"/>
    <col min="13846" max="13846" width="10.5703125" style="1328" bestFit="1" customWidth="1"/>
    <col min="13847" max="14080" width="10" style="1328"/>
    <col min="14081" max="14081" width="9.42578125" style="1328" customWidth="1"/>
    <col min="14082" max="14082" width="20.85546875" style="1328" customWidth="1"/>
    <col min="14083" max="14083" width="35.5703125" style="1328" customWidth="1"/>
    <col min="14084" max="14084" width="12.85546875" style="1328" customWidth="1"/>
    <col min="14085" max="14085" width="10.42578125" style="1328" customWidth="1"/>
    <col min="14086" max="14086" width="16.42578125" style="1328" customWidth="1"/>
    <col min="14087" max="14087" width="12" style="1328" customWidth="1"/>
    <col min="14088" max="14088" width="14.28515625" style="1328" bestFit="1" customWidth="1"/>
    <col min="14089" max="14089" width="18.85546875" style="1328" customWidth="1"/>
    <col min="14090" max="14090" width="15.5703125" style="1328" customWidth="1"/>
    <col min="14091" max="14091" width="16.140625" style="1328" customWidth="1"/>
    <col min="14092" max="14093" width="15" style="1328" customWidth="1"/>
    <col min="14094" max="14094" width="13.5703125" style="1328" customWidth="1"/>
    <col min="14095" max="14095" width="15" style="1328" customWidth="1"/>
    <col min="14096" max="14097" width="17.5703125" style="1328" customWidth="1"/>
    <col min="14098" max="14098" width="33" style="1328" customWidth="1"/>
    <col min="14099" max="14099" width="15" style="1328" customWidth="1"/>
    <col min="14100" max="14101" width="14.5703125" style="1328" bestFit="1" customWidth="1"/>
    <col min="14102" max="14102" width="10.5703125" style="1328" bestFit="1" customWidth="1"/>
    <col min="14103" max="14336" width="10" style="1328"/>
    <col min="14337" max="14337" width="9.42578125" style="1328" customWidth="1"/>
    <col min="14338" max="14338" width="20.85546875" style="1328" customWidth="1"/>
    <col min="14339" max="14339" width="35.5703125" style="1328" customWidth="1"/>
    <col min="14340" max="14340" width="12.85546875" style="1328" customWidth="1"/>
    <col min="14341" max="14341" width="10.42578125" style="1328" customWidth="1"/>
    <col min="14342" max="14342" width="16.42578125" style="1328" customWidth="1"/>
    <col min="14343" max="14343" width="12" style="1328" customWidth="1"/>
    <col min="14344" max="14344" width="14.28515625" style="1328" bestFit="1" customWidth="1"/>
    <col min="14345" max="14345" width="18.85546875" style="1328" customWidth="1"/>
    <col min="14346" max="14346" width="15.5703125" style="1328" customWidth="1"/>
    <col min="14347" max="14347" width="16.140625" style="1328" customWidth="1"/>
    <col min="14348" max="14349" width="15" style="1328" customWidth="1"/>
    <col min="14350" max="14350" width="13.5703125" style="1328" customWidth="1"/>
    <col min="14351" max="14351" width="15" style="1328" customWidth="1"/>
    <col min="14352" max="14353" width="17.5703125" style="1328" customWidth="1"/>
    <col min="14354" max="14354" width="33" style="1328" customWidth="1"/>
    <col min="14355" max="14355" width="15" style="1328" customWidth="1"/>
    <col min="14356" max="14357" width="14.5703125" style="1328" bestFit="1" customWidth="1"/>
    <col min="14358" max="14358" width="10.5703125" style="1328" bestFit="1" customWidth="1"/>
    <col min="14359" max="14592" width="10" style="1328"/>
    <col min="14593" max="14593" width="9.42578125" style="1328" customWidth="1"/>
    <col min="14594" max="14594" width="20.85546875" style="1328" customWidth="1"/>
    <col min="14595" max="14595" width="35.5703125" style="1328" customWidth="1"/>
    <col min="14596" max="14596" width="12.85546875" style="1328" customWidth="1"/>
    <col min="14597" max="14597" width="10.42578125" style="1328" customWidth="1"/>
    <col min="14598" max="14598" width="16.42578125" style="1328" customWidth="1"/>
    <col min="14599" max="14599" width="12" style="1328" customWidth="1"/>
    <col min="14600" max="14600" width="14.28515625" style="1328" bestFit="1" customWidth="1"/>
    <col min="14601" max="14601" width="18.85546875" style="1328" customWidth="1"/>
    <col min="14602" max="14602" width="15.5703125" style="1328" customWidth="1"/>
    <col min="14603" max="14603" width="16.140625" style="1328" customWidth="1"/>
    <col min="14604" max="14605" width="15" style="1328" customWidth="1"/>
    <col min="14606" max="14606" width="13.5703125" style="1328" customWidth="1"/>
    <col min="14607" max="14607" width="15" style="1328" customWidth="1"/>
    <col min="14608" max="14609" width="17.5703125" style="1328" customWidth="1"/>
    <col min="14610" max="14610" width="33" style="1328" customWidth="1"/>
    <col min="14611" max="14611" width="15" style="1328" customWidth="1"/>
    <col min="14612" max="14613" width="14.5703125" style="1328" bestFit="1" customWidth="1"/>
    <col min="14614" max="14614" width="10.5703125" style="1328" bestFit="1" customWidth="1"/>
    <col min="14615" max="14848" width="10" style="1328"/>
    <col min="14849" max="14849" width="9.42578125" style="1328" customWidth="1"/>
    <col min="14850" max="14850" width="20.85546875" style="1328" customWidth="1"/>
    <col min="14851" max="14851" width="35.5703125" style="1328" customWidth="1"/>
    <col min="14852" max="14852" width="12.85546875" style="1328" customWidth="1"/>
    <col min="14853" max="14853" width="10.42578125" style="1328" customWidth="1"/>
    <col min="14854" max="14854" width="16.42578125" style="1328" customWidth="1"/>
    <col min="14855" max="14855" width="12" style="1328" customWidth="1"/>
    <col min="14856" max="14856" width="14.28515625" style="1328" bestFit="1" customWidth="1"/>
    <col min="14857" max="14857" width="18.85546875" style="1328" customWidth="1"/>
    <col min="14858" max="14858" width="15.5703125" style="1328" customWidth="1"/>
    <col min="14859" max="14859" width="16.140625" style="1328" customWidth="1"/>
    <col min="14860" max="14861" width="15" style="1328" customWidth="1"/>
    <col min="14862" max="14862" width="13.5703125" style="1328" customWidth="1"/>
    <col min="14863" max="14863" width="15" style="1328" customWidth="1"/>
    <col min="14864" max="14865" width="17.5703125" style="1328" customWidth="1"/>
    <col min="14866" max="14866" width="33" style="1328" customWidth="1"/>
    <col min="14867" max="14867" width="15" style="1328" customWidth="1"/>
    <col min="14868" max="14869" width="14.5703125" style="1328" bestFit="1" customWidth="1"/>
    <col min="14870" max="14870" width="10.5703125" style="1328" bestFit="1" customWidth="1"/>
    <col min="14871" max="15104" width="10" style="1328"/>
    <col min="15105" max="15105" width="9.42578125" style="1328" customWidth="1"/>
    <col min="15106" max="15106" width="20.85546875" style="1328" customWidth="1"/>
    <col min="15107" max="15107" width="35.5703125" style="1328" customWidth="1"/>
    <col min="15108" max="15108" width="12.85546875" style="1328" customWidth="1"/>
    <col min="15109" max="15109" width="10.42578125" style="1328" customWidth="1"/>
    <col min="15110" max="15110" width="16.42578125" style="1328" customWidth="1"/>
    <col min="15111" max="15111" width="12" style="1328" customWidth="1"/>
    <col min="15112" max="15112" width="14.28515625" style="1328" bestFit="1" customWidth="1"/>
    <col min="15113" max="15113" width="18.85546875" style="1328" customWidth="1"/>
    <col min="15114" max="15114" width="15.5703125" style="1328" customWidth="1"/>
    <col min="15115" max="15115" width="16.140625" style="1328" customWidth="1"/>
    <col min="15116" max="15117" width="15" style="1328" customWidth="1"/>
    <col min="15118" max="15118" width="13.5703125" style="1328" customWidth="1"/>
    <col min="15119" max="15119" width="15" style="1328" customWidth="1"/>
    <col min="15120" max="15121" width="17.5703125" style="1328" customWidth="1"/>
    <col min="15122" max="15122" width="33" style="1328" customWidth="1"/>
    <col min="15123" max="15123" width="15" style="1328" customWidth="1"/>
    <col min="15124" max="15125" width="14.5703125" style="1328" bestFit="1" customWidth="1"/>
    <col min="15126" max="15126" width="10.5703125" style="1328" bestFit="1" customWidth="1"/>
    <col min="15127" max="15360" width="10" style="1328"/>
    <col min="15361" max="15361" width="9.42578125" style="1328" customWidth="1"/>
    <col min="15362" max="15362" width="20.85546875" style="1328" customWidth="1"/>
    <col min="15363" max="15363" width="35.5703125" style="1328" customWidth="1"/>
    <col min="15364" max="15364" width="12.85546875" style="1328" customWidth="1"/>
    <col min="15365" max="15365" width="10.42578125" style="1328" customWidth="1"/>
    <col min="15366" max="15366" width="16.42578125" style="1328" customWidth="1"/>
    <col min="15367" max="15367" width="12" style="1328" customWidth="1"/>
    <col min="15368" max="15368" width="14.28515625" style="1328" bestFit="1" customWidth="1"/>
    <col min="15369" max="15369" width="18.85546875" style="1328" customWidth="1"/>
    <col min="15370" max="15370" width="15.5703125" style="1328" customWidth="1"/>
    <col min="15371" max="15371" width="16.140625" style="1328" customWidth="1"/>
    <col min="15372" max="15373" width="15" style="1328" customWidth="1"/>
    <col min="15374" max="15374" width="13.5703125" style="1328" customWidth="1"/>
    <col min="15375" max="15375" width="15" style="1328" customWidth="1"/>
    <col min="15376" max="15377" width="17.5703125" style="1328" customWidth="1"/>
    <col min="15378" max="15378" width="33" style="1328" customWidth="1"/>
    <col min="15379" max="15379" width="15" style="1328" customWidth="1"/>
    <col min="15380" max="15381" width="14.5703125" style="1328" bestFit="1" customWidth="1"/>
    <col min="15382" max="15382" width="10.5703125" style="1328" bestFit="1" customWidth="1"/>
    <col min="15383" max="15616" width="10" style="1328"/>
    <col min="15617" max="15617" width="9.42578125" style="1328" customWidth="1"/>
    <col min="15618" max="15618" width="20.85546875" style="1328" customWidth="1"/>
    <col min="15619" max="15619" width="35.5703125" style="1328" customWidth="1"/>
    <col min="15620" max="15620" width="12.85546875" style="1328" customWidth="1"/>
    <col min="15621" max="15621" width="10.42578125" style="1328" customWidth="1"/>
    <col min="15622" max="15622" width="16.42578125" style="1328" customWidth="1"/>
    <col min="15623" max="15623" width="12" style="1328" customWidth="1"/>
    <col min="15624" max="15624" width="14.28515625" style="1328" bestFit="1" customWidth="1"/>
    <col min="15625" max="15625" width="18.85546875" style="1328" customWidth="1"/>
    <col min="15626" max="15626" width="15.5703125" style="1328" customWidth="1"/>
    <col min="15627" max="15627" width="16.140625" style="1328" customWidth="1"/>
    <col min="15628" max="15629" width="15" style="1328" customWidth="1"/>
    <col min="15630" max="15630" width="13.5703125" style="1328" customWidth="1"/>
    <col min="15631" max="15631" width="15" style="1328" customWidth="1"/>
    <col min="15632" max="15633" width="17.5703125" style="1328" customWidth="1"/>
    <col min="15634" max="15634" width="33" style="1328" customWidth="1"/>
    <col min="15635" max="15635" width="15" style="1328" customWidth="1"/>
    <col min="15636" max="15637" width="14.5703125" style="1328" bestFit="1" customWidth="1"/>
    <col min="15638" max="15638" width="10.5703125" style="1328" bestFit="1" customWidth="1"/>
    <col min="15639" max="15872" width="10" style="1328"/>
    <col min="15873" max="15873" width="9.42578125" style="1328" customWidth="1"/>
    <col min="15874" max="15874" width="20.85546875" style="1328" customWidth="1"/>
    <col min="15875" max="15875" width="35.5703125" style="1328" customWidth="1"/>
    <col min="15876" max="15876" width="12.85546875" style="1328" customWidth="1"/>
    <col min="15877" max="15877" width="10.42578125" style="1328" customWidth="1"/>
    <col min="15878" max="15878" width="16.42578125" style="1328" customWidth="1"/>
    <col min="15879" max="15879" width="12" style="1328" customWidth="1"/>
    <col min="15880" max="15880" width="14.28515625" style="1328" bestFit="1" customWidth="1"/>
    <col min="15881" max="15881" width="18.85546875" style="1328" customWidth="1"/>
    <col min="15882" max="15882" width="15.5703125" style="1328" customWidth="1"/>
    <col min="15883" max="15883" width="16.140625" style="1328" customWidth="1"/>
    <col min="15884" max="15885" width="15" style="1328" customWidth="1"/>
    <col min="15886" max="15886" width="13.5703125" style="1328" customWidth="1"/>
    <col min="15887" max="15887" width="15" style="1328" customWidth="1"/>
    <col min="15888" max="15889" width="17.5703125" style="1328" customWidth="1"/>
    <col min="15890" max="15890" width="33" style="1328" customWidth="1"/>
    <col min="15891" max="15891" width="15" style="1328" customWidth="1"/>
    <col min="15892" max="15893" width="14.5703125" style="1328" bestFit="1" customWidth="1"/>
    <col min="15894" max="15894" width="10.5703125" style="1328" bestFit="1" customWidth="1"/>
    <col min="15895" max="16128" width="10" style="1328"/>
    <col min="16129" max="16129" width="9.42578125" style="1328" customWidth="1"/>
    <col min="16130" max="16130" width="20.85546875" style="1328" customWidth="1"/>
    <col min="16131" max="16131" width="35.5703125" style="1328" customWidth="1"/>
    <col min="16132" max="16132" width="12.85546875" style="1328" customWidth="1"/>
    <col min="16133" max="16133" width="10.42578125" style="1328" customWidth="1"/>
    <col min="16134" max="16134" width="16.42578125" style="1328" customWidth="1"/>
    <col min="16135" max="16135" width="12" style="1328" customWidth="1"/>
    <col min="16136" max="16136" width="14.28515625" style="1328" bestFit="1" customWidth="1"/>
    <col min="16137" max="16137" width="18.85546875" style="1328" customWidth="1"/>
    <col min="16138" max="16138" width="15.5703125" style="1328" customWidth="1"/>
    <col min="16139" max="16139" width="16.140625" style="1328" customWidth="1"/>
    <col min="16140" max="16141" width="15" style="1328" customWidth="1"/>
    <col min="16142" max="16142" width="13.5703125" style="1328" customWidth="1"/>
    <col min="16143" max="16143" width="15" style="1328" customWidth="1"/>
    <col min="16144" max="16145" width="17.5703125" style="1328" customWidth="1"/>
    <col min="16146" max="16146" width="33" style="1328" customWidth="1"/>
    <col min="16147" max="16147" width="15" style="1328" customWidth="1"/>
    <col min="16148" max="16149" width="14.5703125" style="1328" bestFit="1" customWidth="1"/>
    <col min="16150" max="16150" width="10.5703125" style="1328" bestFit="1" customWidth="1"/>
    <col min="16151" max="16384" width="10" style="1328"/>
  </cols>
  <sheetData>
    <row r="1" spans="1:23" ht="12.75">
      <c r="A1" s="1328" t="s">
        <v>815</v>
      </c>
      <c r="R1" s="1330"/>
    </row>
    <row r="2" spans="1:23" ht="12.75">
      <c r="A2" s="1328" t="s">
        <v>816</v>
      </c>
      <c r="R2" s="1330"/>
      <c r="V2" s="1331"/>
    </row>
    <row r="3" spans="1:23" ht="12.75">
      <c r="A3" s="1328" t="s">
        <v>817</v>
      </c>
      <c r="R3" s="1330"/>
      <c r="V3" s="1332"/>
    </row>
    <row r="4" spans="1:23">
      <c r="A4" s="1328" t="s">
        <v>911</v>
      </c>
      <c r="G4" s="1333"/>
    </row>
    <row r="5" spans="1:23">
      <c r="A5" s="1328" t="s">
        <v>818</v>
      </c>
      <c r="I5" s="1334"/>
      <c r="J5" s="1334"/>
      <c r="P5" s="1334"/>
      <c r="Q5" s="1334"/>
    </row>
    <row r="6" spans="1:23">
      <c r="J6" s="1334"/>
      <c r="K6" s="1335"/>
      <c r="L6" s="1329"/>
      <c r="M6" s="1329"/>
      <c r="N6" s="1329"/>
      <c r="O6" s="1329"/>
      <c r="P6" s="1329"/>
      <c r="Q6" s="1329"/>
    </row>
    <row r="7" spans="1:23">
      <c r="B7" s="1336"/>
      <c r="C7" s="1336"/>
      <c r="D7" s="1336"/>
      <c r="E7" s="1336"/>
      <c r="F7" s="1336"/>
      <c r="G7" s="1336"/>
      <c r="H7" s="1336"/>
      <c r="I7" s="1336"/>
      <c r="J7" s="1336"/>
      <c r="K7" s="1336"/>
      <c r="L7" s="1336"/>
      <c r="M7" s="1336"/>
      <c r="N7" s="1336"/>
      <c r="O7" s="1336"/>
      <c r="P7" s="1336"/>
      <c r="Q7" s="1329"/>
    </row>
    <row r="8" spans="1:23">
      <c r="A8" s="1329" t="s">
        <v>438</v>
      </c>
      <c r="B8" s="1329" t="s">
        <v>439</v>
      </c>
      <c r="C8" s="1329" t="s">
        <v>440</v>
      </c>
      <c r="D8" s="1329" t="s">
        <v>441</v>
      </c>
      <c r="E8" s="1329" t="s">
        <v>442</v>
      </c>
      <c r="F8" s="1329" t="s">
        <v>443</v>
      </c>
      <c r="G8" s="1329" t="s">
        <v>444</v>
      </c>
      <c r="H8" s="1329" t="s">
        <v>445</v>
      </c>
      <c r="I8" s="1329" t="s">
        <v>819</v>
      </c>
      <c r="J8" s="1329" t="s">
        <v>820</v>
      </c>
      <c r="K8" s="1329" t="s">
        <v>448</v>
      </c>
      <c r="L8" s="1329" t="s">
        <v>449</v>
      </c>
      <c r="M8" s="1329" t="s">
        <v>450</v>
      </c>
      <c r="N8" s="1329" t="s">
        <v>31</v>
      </c>
      <c r="O8" s="1329" t="s">
        <v>99</v>
      </c>
      <c r="P8" s="1329" t="s">
        <v>144</v>
      </c>
      <c r="Q8" s="1329" t="s">
        <v>145</v>
      </c>
      <c r="R8" s="1329" t="s">
        <v>146</v>
      </c>
    </row>
    <row r="9" spans="1:23" ht="14.45" customHeight="1">
      <c r="B9" s="1393"/>
      <c r="C9" s="1393"/>
      <c r="D9" s="1393"/>
      <c r="E9" s="1393"/>
      <c r="I9" s="1501" t="s">
        <v>910</v>
      </c>
      <c r="J9" s="1501"/>
      <c r="K9" s="1502" t="s">
        <v>821</v>
      </c>
      <c r="L9" s="1502"/>
      <c r="M9" s="1502"/>
      <c r="N9" s="1503" t="s">
        <v>822</v>
      </c>
      <c r="O9" s="1503"/>
      <c r="P9" s="1501" t="s">
        <v>909</v>
      </c>
      <c r="Q9" s="1501"/>
    </row>
    <row r="10" spans="1:23" ht="69.95" customHeight="1">
      <c r="A10" s="1337" t="s">
        <v>823</v>
      </c>
      <c r="B10" s="1338" t="s">
        <v>824</v>
      </c>
      <c r="C10" s="1338" t="s">
        <v>825</v>
      </c>
      <c r="D10" s="1339" t="s">
        <v>826</v>
      </c>
      <c r="E10" s="1339" t="s">
        <v>827</v>
      </c>
      <c r="F10" s="1339" t="s">
        <v>828</v>
      </c>
      <c r="G10" s="1339" t="s">
        <v>829</v>
      </c>
      <c r="H10" s="1339" t="s">
        <v>830</v>
      </c>
      <c r="I10" s="1340" t="s">
        <v>831</v>
      </c>
      <c r="J10" s="1340" t="s">
        <v>832</v>
      </c>
      <c r="K10" s="1341" t="s">
        <v>833</v>
      </c>
      <c r="L10" s="1341">
        <v>182.3</v>
      </c>
      <c r="M10" s="1341">
        <v>254</v>
      </c>
      <c r="N10" s="1341" t="s">
        <v>834</v>
      </c>
      <c r="O10" s="1341" t="s">
        <v>835</v>
      </c>
      <c r="P10" s="1340" t="s">
        <v>831</v>
      </c>
      <c r="Q10" s="1340" t="s">
        <v>832</v>
      </c>
      <c r="R10" s="1342" t="s">
        <v>836</v>
      </c>
    </row>
    <row r="11" spans="1:23">
      <c r="B11" s="1328"/>
      <c r="D11" s="1392"/>
      <c r="E11" s="1392"/>
      <c r="F11" s="1392"/>
      <c r="G11" s="1392"/>
      <c r="H11" s="1392"/>
      <c r="I11" s="1343"/>
      <c r="J11" s="1343"/>
      <c r="K11" s="1343"/>
      <c r="L11" s="1343"/>
      <c r="M11" s="1343"/>
      <c r="N11" s="1343"/>
      <c r="O11" s="1343"/>
      <c r="P11" s="1504" t="s">
        <v>837</v>
      </c>
      <c r="Q11" s="1504"/>
      <c r="R11" s="1342"/>
    </row>
    <row r="12" spans="1:23">
      <c r="B12" s="1344" t="s">
        <v>838</v>
      </c>
      <c r="C12" s="1345"/>
      <c r="D12" s="1345"/>
      <c r="E12" s="1345"/>
      <c r="F12" s="1345"/>
      <c r="G12" s="1345"/>
      <c r="H12" s="1345"/>
      <c r="I12" s="1345"/>
      <c r="J12" s="1345"/>
      <c r="K12" s="1345"/>
      <c r="L12" s="1345"/>
      <c r="M12" s="1345"/>
      <c r="N12" s="1345"/>
      <c r="O12" s="1345"/>
      <c r="P12" s="1345"/>
      <c r="Q12" s="1345"/>
      <c r="R12" s="1332"/>
      <c r="S12" s="1332"/>
      <c r="T12" s="1332"/>
      <c r="U12" s="1332"/>
      <c r="V12" s="1332"/>
      <c r="W12" s="1332"/>
    </row>
    <row r="13" spans="1:23">
      <c r="A13" s="1328" t="s">
        <v>839</v>
      </c>
      <c r="B13" s="1346" t="s">
        <v>840</v>
      </c>
      <c r="C13" s="1328" t="s">
        <v>841</v>
      </c>
      <c r="D13" s="1347" t="s">
        <v>842</v>
      </c>
      <c r="E13" s="1347" t="s">
        <v>843</v>
      </c>
      <c r="F13" s="1348"/>
      <c r="G13" s="1347"/>
      <c r="H13" s="1347"/>
      <c r="I13" s="1349"/>
      <c r="J13" s="1350"/>
      <c r="K13" s="1349"/>
      <c r="L13" s="1349"/>
      <c r="M13" s="1349"/>
      <c r="N13" s="1349"/>
      <c r="O13" s="1349"/>
      <c r="P13" s="1351">
        <f>SUM(I13:O13)</f>
        <v>0</v>
      </c>
      <c r="Q13" s="1352" t="s">
        <v>406</v>
      </c>
      <c r="R13" s="1353" t="s">
        <v>844</v>
      </c>
      <c r="S13" s="1332"/>
      <c r="T13" s="1332"/>
      <c r="U13" s="1332"/>
      <c r="V13" s="1332"/>
      <c r="W13" s="1332"/>
    </row>
    <row r="14" spans="1:23">
      <c r="A14" s="1328" t="s">
        <v>845</v>
      </c>
      <c r="B14" s="1346" t="s">
        <v>846</v>
      </c>
      <c r="C14" s="1328" t="s">
        <v>847</v>
      </c>
      <c r="D14" s="1347" t="s">
        <v>848</v>
      </c>
      <c r="E14" s="1347" t="s">
        <v>843</v>
      </c>
      <c r="F14" s="1354"/>
      <c r="G14" s="1355" t="s">
        <v>849</v>
      </c>
      <c r="H14" s="1355" t="s">
        <v>850</v>
      </c>
      <c r="J14" s="1349"/>
      <c r="K14" s="1349"/>
      <c r="L14" s="1349"/>
      <c r="M14" s="1349"/>
      <c r="N14" s="1349"/>
      <c r="O14" s="1349"/>
      <c r="P14" s="1356" t="s">
        <v>406</v>
      </c>
      <c r="Q14" s="1357">
        <f>SUM(J14:O14)</f>
        <v>0</v>
      </c>
      <c r="R14" s="1353" t="s">
        <v>855</v>
      </c>
      <c r="S14" s="1332"/>
      <c r="T14" s="1332"/>
      <c r="U14" s="1332"/>
      <c r="V14" s="1332"/>
      <c r="W14" s="1332"/>
    </row>
    <row r="15" spans="1:23">
      <c r="A15" s="1328" t="s">
        <v>851</v>
      </c>
      <c r="B15" s="1346" t="s">
        <v>846</v>
      </c>
      <c r="C15" s="1328" t="s">
        <v>847</v>
      </c>
      <c r="D15" s="1347" t="s">
        <v>852</v>
      </c>
      <c r="E15" s="1347" t="s">
        <v>843</v>
      </c>
      <c r="F15" s="1359">
        <v>-9655</v>
      </c>
      <c r="G15" s="1355" t="s">
        <v>853</v>
      </c>
      <c r="H15" s="1355" t="s">
        <v>854</v>
      </c>
      <c r="J15" s="1349"/>
      <c r="K15" s="1349"/>
      <c r="L15" s="1349"/>
      <c r="M15" s="1349"/>
      <c r="N15" s="1349"/>
      <c r="O15" s="1349"/>
      <c r="P15" s="1356"/>
      <c r="Q15" s="1357">
        <f>SUM(J15:O15)</f>
        <v>0</v>
      </c>
      <c r="R15" s="1358" t="s">
        <v>907</v>
      </c>
      <c r="S15" s="1332"/>
      <c r="T15" s="1332"/>
      <c r="U15" s="1332"/>
      <c r="V15" s="1332"/>
      <c r="W15" s="1332"/>
    </row>
    <row r="16" spans="1:23">
      <c r="A16" s="1328" t="s">
        <v>856</v>
      </c>
      <c r="B16" s="1346" t="s">
        <v>857</v>
      </c>
      <c r="C16" s="1328" t="s">
        <v>858</v>
      </c>
      <c r="D16" s="1347" t="s">
        <v>848</v>
      </c>
      <c r="E16" s="1347" t="s">
        <v>843</v>
      </c>
      <c r="F16" s="1359"/>
      <c r="G16" s="1355"/>
      <c r="H16" s="1355"/>
      <c r="I16" s="1349"/>
      <c r="J16" s="1350"/>
      <c r="K16" s="1349"/>
      <c r="L16" s="1349"/>
      <c r="M16" s="1349"/>
      <c r="N16" s="1349"/>
      <c r="O16" s="1349"/>
      <c r="P16" s="1351">
        <f>SUM(I16:O16)</f>
        <v>0</v>
      </c>
      <c r="Q16" s="1350"/>
      <c r="R16" s="1497" t="s">
        <v>908</v>
      </c>
      <c r="S16" s="1332"/>
      <c r="T16" s="1332"/>
      <c r="U16" s="1332"/>
      <c r="V16" s="1332"/>
      <c r="W16" s="1332"/>
    </row>
    <row r="17" spans="1:23">
      <c r="A17" s="1328" t="s">
        <v>859</v>
      </c>
      <c r="B17" s="1346" t="s">
        <v>857</v>
      </c>
      <c r="C17" s="1328" t="s">
        <v>858</v>
      </c>
      <c r="D17" s="1347" t="s">
        <v>852</v>
      </c>
      <c r="E17" s="1347" t="s">
        <v>843</v>
      </c>
      <c r="F17" s="1359"/>
      <c r="G17" s="1355"/>
      <c r="H17" s="1355"/>
      <c r="I17" s="1349"/>
      <c r="J17" s="1350"/>
      <c r="K17" s="1349"/>
      <c r="L17" s="1349"/>
      <c r="M17" s="1349"/>
      <c r="N17" s="1349"/>
      <c r="O17" s="1349"/>
      <c r="P17" s="1351">
        <f>SUM(I17:O17)</f>
        <v>0</v>
      </c>
      <c r="Q17" s="1350"/>
      <c r="R17" s="1497"/>
      <c r="S17" s="1332"/>
      <c r="T17" s="1332"/>
      <c r="U17" s="1332"/>
      <c r="V17" s="1332"/>
      <c r="W17" s="1332"/>
    </row>
    <row r="18" spans="1:23">
      <c r="A18" s="1328" t="s">
        <v>860</v>
      </c>
      <c r="B18" s="1346" t="s">
        <v>861</v>
      </c>
      <c r="C18" s="1328" t="s">
        <v>862</v>
      </c>
      <c r="D18" s="1347" t="s">
        <v>852</v>
      </c>
      <c r="E18" s="1347" t="s">
        <v>843</v>
      </c>
      <c r="F18" s="1359">
        <v>2600</v>
      </c>
      <c r="G18" s="1355" t="s">
        <v>853</v>
      </c>
      <c r="H18" s="1355" t="s">
        <v>854</v>
      </c>
      <c r="J18" s="1349"/>
      <c r="K18" s="1349"/>
      <c r="L18" s="1349"/>
      <c r="M18" s="1349"/>
      <c r="N18" s="1349"/>
      <c r="O18" s="1349"/>
      <c r="P18" s="1356" t="s">
        <v>406</v>
      </c>
      <c r="Q18" s="1357">
        <f>SUM(J18:O18)</f>
        <v>0</v>
      </c>
      <c r="R18" s="1353" t="s">
        <v>863</v>
      </c>
      <c r="S18" s="1332"/>
      <c r="T18" s="1332"/>
      <c r="U18" s="1332"/>
      <c r="V18" s="1332"/>
      <c r="W18" s="1332"/>
    </row>
    <row r="19" spans="1:23">
      <c r="A19" s="1328" t="s">
        <v>864</v>
      </c>
      <c r="B19" s="1360" t="s">
        <v>865</v>
      </c>
      <c r="C19" s="1328" t="s">
        <v>866</v>
      </c>
      <c r="D19" s="1347" t="s">
        <v>852</v>
      </c>
      <c r="E19" s="1347" t="s">
        <v>843</v>
      </c>
      <c r="F19" s="1354"/>
      <c r="G19" s="1355"/>
      <c r="H19" s="1355"/>
      <c r="I19" s="1349"/>
      <c r="J19" s="1350"/>
      <c r="K19" s="1349"/>
      <c r="L19" s="1349"/>
      <c r="M19" s="1349"/>
      <c r="N19" s="1349"/>
      <c r="O19" s="1349"/>
      <c r="P19" s="1351">
        <f>SUM(I19:O19)</f>
        <v>0</v>
      </c>
      <c r="Q19" s="1356"/>
      <c r="R19" s="1353" t="s">
        <v>867</v>
      </c>
      <c r="S19" s="1332"/>
      <c r="T19" s="1332"/>
      <c r="U19" s="1332"/>
      <c r="V19" s="1332"/>
      <c r="W19" s="1332"/>
    </row>
    <row r="20" spans="1:23">
      <c r="A20" s="1328" t="s">
        <v>868</v>
      </c>
      <c r="B20" s="1361" t="s">
        <v>869</v>
      </c>
      <c r="D20" s="1347"/>
      <c r="E20" s="1347"/>
      <c r="F20" s="1354"/>
      <c r="G20" s="1355"/>
      <c r="H20" s="1355"/>
      <c r="I20" s="1349"/>
      <c r="J20" s="1349"/>
      <c r="K20" s="1349"/>
      <c r="L20" s="1349"/>
      <c r="M20" s="1349"/>
      <c r="N20" s="1349"/>
      <c r="O20" s="1349"/>
      <c r="P20" s="1352"/>
      <c r="Q20" s="1351"/>
      <c r="R20" s="1362"/>
      <c r="S20" s="1332"/>
      <c r="T20" s="1332"/>
      <c r="U20" s="1332"/>
      <c r="V20" s="1332"/>
      <c r="W20" s="1332"/>
    </row>
    <row r="21" spans="1:23" ht="12.75">
      <c r="B21" s="1363"/>
      <c r="C21" s="1363"/>
      <c r="D21" s="1363"/>
      <c r="E21" s="1363"/>
      <c r="F21" s="1363"/>
      <c r="G21" s="1363"/>
      <c r="H21" s="1363"/>
      <c r="I21" s="1363"/>
      <c r="J21" s="1363"/>
      <c r="K21" s="1363"/>
      <c r="L21" s="1363"/>
      <c r="M21" s="1363"/>
      <c r="N21"/>
      <c r="O21"/>
      <c r="P21"/>
      <c r="Q21"/>
      <c r="R21"/>
      <c r="S21" s="1332"/>
      <c r="T21" s="1332"/>
      <c r="U21" s="1332"/>
      <c r="V21" s="1332"/>
      <c r="W21" s="1332"/>
    </row>
    <row r="22" spans="1:23" s="1332" customFormat="1">
      <c r="A22" s="1328"/>
      <c r="B22" s="1344" t="s">
        <v>870</v>
      </c>
      <c r="Q22" s="1364"/>
      <c r="R22" s="1365"/>
    </row>
    <row r="23" spans="1:23" ht="11.45" customHeight="1">
      <c r="A23" s="1328" t="s">
        <v>871</v>
      </c>
      <c r="B23" s="1366">
        <v>182.3</v>
      </c>
      <c r="C23" s="1367" t="s">
        <v>872</v>
      </c>
      <c r="D23" s="1368" t="s">
        <v>406</v>
      </c>
      <c r="E23" s="1347" t="s">
        <v>843</v>
      </c>
      <c r="F23" s="1368"/>
      <c r="G23" s="1368" t="s">
        <v>406</v>
      </c>
      <c r="H23" s="1368"/>
      <c r="I23" s="1369"/>
      <c r="J23" s="1349"/>
      <c r="K23" s="1349"/>
      <c r="L23" s="1349"/>
      <c r="M23" s="1349"/>
      <c r="N23" s="1349"/>
      <c r="O23" s="1350"/>
      <c r="P23" s="1352">
        <f>SUM(I23:O23)</f>
        <v>0</v>
      </c>
      <c r="Q23" s="1370"/>
      <c r="R23" s="1353" t="s">
        <v>873</v>
      </c>
      <c r="S23" s="1332"/>
      <c r="T23" s="1332"/>
      <c r="U23" s="1332"/>
      <c r="V23" s="1332"/>
      <c r="W23" s="1332"/>
    </row>
    <row r="24" spans="1:23" ht="11.45" customHeight="1">
      <c r="A24" s="1328" t="s">
        <v>874</v>
      </c>
      <c r="B24" s="1366">
        <v>254</v>
      </c>
      <c r="C24" s="1367" t="s">
        <v>875</v>
      </c>
      <c r="D24" s="1368" t="s">
        <v>406</v>
      </c>
      <c r="E24" s="1347" t="s">
        <v>843</v>
      </c>
      <c r="F24" s="1368"/>
      <c r="G24" s="1368" t="s">
        <v>406</v>
      </c>
      <c r="H24" s="1368"/>
      <c r="I24" s="1369"/>
      <c r="J24" s="1349"/>
      <c r="K24" s="1349"/>
      <c r="L24" s="1349"/>
      <c r="M24" s="1349"/>
      <c r="N24" s="1349"/>
      <c r="O24" s="1350"/>
      <c r="P24" s="1352">
        <f>SUM(I24:O24)</f>
        <v>0</v>
      </c>
      <c r="Q24" s="1370"/>
      <c r="R24" s="1353" t="s">
        <v>876</v>
      </c>
      <c r="S24" s="1332"/>
      <c r="T24" s="1332"/>
      <c r="U24" s="1332"/>
      <c r="V24" s="1332"/>
      <c r="W24" s="1332"/>
    </row>
    <row r="25" spans="1:23" ht="11.45" customHeight="1">
      <c r="A25" s="1328" t="s">
        <v>877</v>
      </c>
      <c r="B25" s="1361" t="s">
        <v>869</v>
      </c>
      <c r="C25" s="1367"/>
      <c r="D25" s="1368"/>
      <c r="E25" s="1347"/>
      <c r="F25" s="1368"/>
      <c r="G25" s="1368"/>
      <c r="H25" s="1368"/>
      <c r="I25" s="1349"/>
      <c r="J25" s="1349"/>
      <c r="K25" s="1349"/>
      <c r="L25" s="1349"/>
      <c r="M25" s="1349"/>
      <c r="N25" s="1349"/>
      <c r="O25" s="1368"/>
      <c r="P25" s="1370"/>
      <c r="Q25" s="1370"/>
      <c r="R25" s="1353"/>
      <c r="S25" s="1332"/>
      <c r="T25" s="1332"/>
      <c r="U25" s="1332"/>
      <c r="V25" s="1332"/>
      <c r="W25" s="1332"/>
    </row>
    <row r="26" spans="1:23">
      <c r="B26" s="1366"/>
      <c r="C26" s="1367"/>
      <c r="D26" s="1336"/>
      <c r="E26" s="1336"/>
      <c r="F26" s="1336"/>
      <c r="G26" s="1336"/>
      <c r="H26" s="1336"/>
      <c r="I26" s="1336"/>
      <c r="J26" s="1336"/>
      <c r="K26" s="1336"/>
      <c r="L26" s="1336"/>
      <c r="M26" s="1336"/>
      <c r="N26" s="1336"/>
      <c r="O26" s="1336"/>
      <c r="P26" s="1336"/>
      <c r="Q26" s="1336"/>
      <c r="R26" s="1371"/>
      <c r="S26" s="1332"/>
      <c r="T26" s="1332"/>
      <c r="U26" s="1332"/>
      <c r="V26" s="1332"/>
      <c r="W26" s="1332"/>
    </row>
    <row r="27" spans="1:23" ht="12.75" thickBot="1">
      <c r="A27" s="1372">
        <v>3</v>
      </c>
      <c r="B27" s="1498" t="str">
        <f>"Total For Accounting Entires (Sum of Lines "&amp;A13&amp;" through "&amp;A24&amp;")"</f>
        <v>Total For Accounting Entires (Sum of Lines 1a through 2b)</v>
      </c>
      <c r="C27" s="1498"/>
      <c r="D27" s="1368"/>
      <c r="E27" s="1368"/>
      <c r="F27" s="1368"/>
      <c r="G27" s="1368"/>
      <c r="H27" s="1368"/>
      <c r="I27" s="1373">
        <f>SUM(I13:I26)</f>
        <v>0</v>
      </c>
      <c r="J27" s="1374">
        <f>SUM(J13:J26)</f>
        <v>0</v>
      </c>
      <c r="K27" s="1375">
        <f>SUM(K13:K26)</f>
        <v>0</v>
      </c>
      <c r="L27" s="1375">
        <f>SUM(L13:L26)</f>
        <v>0</v>
      </c>
      <c r="M27" s="1375">
        <f>SUM(M13:M26)</f>
        <v>0</v>
      </c>
      <c r="N27" s="1374">
        <f>-SUM(N13:N26)</f>
        <v>0</v>
      </c>
      <c r="O27" s="1374">
        <f>-SUM(O13:O26)</f>
        <v>0</v>
      </c>
      <c r="P27" s="1375">
        <f>SUM(P13:P26)</f>
        <v>0</v>
      </c>
      <c r="Q27" s="1374">
        <f>SUM(Q13:Q26)</f>
        <v>0</v>
      </c>
      <c r="R27" s="1376"/>
      <c r="S27" s="1332"/>
      <c r="T27" s="1332"/>
      <c r="U27" s="1332"/>
      <c r="V27" s="1332"/>
      <c r="W27" s="1332"/>
    </row>
    <row r="28" spans="1:23" ht="12.75" thickTop="1">
      <c r="B28" s="1366"/>
      <c r="C28" s="1367"/>
      <c r="D28" s="1336"/>
      <c r="E28" s="1336"/>
      <c r="F28" s="1336"/>
      <c r="G28" s="1336"/>
      <c r="H28" s="1336"/>
      <c r="I28" s="1377"/>
      <c r="J28" s="1359"/>
      <c r="K28" s="1378"/>
      <c r="L28" s="1378"/>
      <c r="M28" s="1378"/>
      <c r="N28" s="1379" t="s">
        <v>878</v>
      </c>
      <c r="O28" s="1379"/>
      <c r="P28" s="1378"/>
      <c r="Q28" s="1380"/>
      <c r="R28" s="1376"/>
      <c r="S28" s="1332"/>
      <c r="T28" s="1332"/>
      <c r="U28" s="1332"/>
      <c r="V28" s="1332"/>
      <c r="W28" s="1332"/>
    </row>
    <row r="29" spans="1:23">
      <c r="B29" s="1328"/>
      <c r="C29" s="1367"/>
      <c r="D29" s="1336"/>
      <c r="E29" s="1336"/>
      <c r="F29" s="1336"/>
      <c r="G29" s="1336"/>
      <c r="H29" s="1336"/>
      <c r="I29" s="1377"/>
      <c r="J29" s="1380"/>
      <c r="K29" s="1378"/>
      <c r="L29" s="1378"/>
      <c r="M29" s="1378"/>
      <c r="N29" s="1380"/>
      <c r="O29" s="1380"/>
      <c r="P29" s="1378"/>
      <c r="Q29" s="1380"/>
      <c r="R29" s="1376"/>
      <c r="S29" s="1332"/>
      <c r="T29" s="1332"/>
      <c r="U29" s="1332"/>
      <c r="V29" s="1332"/>
      <c r="W29" s="1332"/>
    </row>
    <row r="30" spans="1:23" ht="15" customHeight="1">
      <c r="A30" s="1381" t="s">
        <v>879</v>
      </c>
      <c r="B30" s="1499" t="s">
        <v>880</v>
      </c>
      <c r="C30" s="1499"/>
      <c r="D30" s="1499"/>
      <c r="E30" s="1499"/>
      <c r="F30" s="1499"/>
      <c r="G30" s="1499"/>
      <c r="H30" s="1499"/>
      <c r="I30" s="1499"/>
      <c r="J30" s="1499"/>
      <c r="K30" s="1382"/>
      <c r="L30" s="1383"/>
      <c r="O30" s="1384"/>
      <c r="P30" s="1384"/>
      <c r="Q30" s="1384"/>
      <c r="R30" s="1332"/>
    </row>
    <row r="31" spans="1:23">
      <c r="B31" s="1499"/>
      <c r="C31" s="1499"/>
      <c r="D31" s="1499"/>
      <c r="E31" s="1499"/>
      <c r="F31" s="1499"/>
      <c r="G31" s="1499"/>
      <c r="H31" s="1499"/>
      <c r="I31" s="1499"/>
      <c r="J31" s="1499"/>
      <c r="K31" s="1382"/>
      <c r="L31" s="1383"/>
      <c r="O31" s="1384"/>
      <c r="R31" s="1332"/>
    </row>
    <row r="32" spans="1:23">
      <c r="B32" s="1499"/>
      <c r="C32" s="1499"/>
      <c r="D32" s="1499"/>
      <c r="E32" s="1499"/>
      <c r="F32" s="1499"/>
      <c r="G32" s="1499"/>
      <c r="H32" s="1499"/>
      <c r="I32" s="1499"/>
      <c r="J32" s="1499"/>
      <c r="K32" s="1382"/>
      <c r="L32" s="1383"/>
      <c r="R32" s="1332"/>
    </row>
    <row r="33" spans="1:18">
      <c r="B33" s="1499"/>
      <c r="C33" s="1499"/>
      <c r="D33" s="1499"/>
      <c r="E33" s="1499"/>
      <c r="F33" s="1499"/>
      <c r="G33" s="1499"/>
      <c r="H33" s="1499"/>
      <c r="I33" s="1499"/>
      <c r="J33" s="1499"/>
      <c r="K33" s="1382"/>
      <c r="L33" s="1383"/>
      <c r="P33" s="1384"/>
      <c r="Q33" s="1384"/>
      <c r="R33" s="1332"/>
    </row>
    <row r="34" spans="1:18">
      <c r="B34" s="1499"/>
      <c r="C34" s="1499"/>
      <c r="D34" s="1499"/>
      <c r="E34" s="1499"/>
      <c r="F34" s="1499"/>
      <c r="G34" s="1499"/>
      <c r="H34" s="1499"/>
      <c r="I34" s="1499"/>
      <c r="J34" s="1499"/>
      <c r="K34" s="1382"/>
      <c r="R34" s="1332"/>
    </row>
    <row r="35" spans="1:18">
      <c r="B35" s="1499"/>
      <c r="C35" s="1499"/>
      <c r="D35" s="1499"/>
      <c r="E35" s="1499"/>
      <c r="F35" s="1499"/>
      <c r="G35" s="1499"/>
      <c r="H35" s="1499"/>
      <c r="I35" s="1499"/>
      <c r="J35" s="1499"/>
      <c r="K35" s="1382"/>
      <c r="R35" s="1332"/>
    </row>
    <row r="36" spans="1:18" ht="5.0999999999999996" customHeight="1">
      <c r="B36" s="1382"/>
      <c r="C36" s="1382"/>
      <c r="D36" s="1382"/>
      <c r="E36" s="1382"/>
      <c r="F36" s="1382"/>
      <c r="G36" s="1382"/>
      <c r="H36" s="1382"/>
      <c r="I36" s="1382"/>
      <c r="J36" s="1382"/>
      <c r="K36" s="1382"/>
      <c r="R36" s="1332"/>
    </row>
    <row r="37" spans="1:18" ht="12.6" customHeight="1">
      <c r="A37" s="1328" t="s">
        <v>881</v>
      </c>
      <c r="B37" s="1385" t="s">
        <v>882</v>
      </c>
      <c r="C37" s="1385"/>
      <c r="D37" s="1385"/>
      <c r="E37" s="1385"/>
      <c r="F37" s="1385"/>
      <c r="G37" s="1385"/>
      <c r="H37" s="1385"/>
      <c r="I37" s="1385"/>
      <c r="J37" s="1385"/>
      <c r="K37" s="1382"/>
      <c r="R37" s="1332"/>
    </row>
    <row r="38" spans="1:18" ht="5.0999999999999996" customHeight="1">
      <c r="B38" s="1382"/>
      <c r="C38" s="1382"/>
      <c r="D38" s="1382"/>
      <c r="E38" s="1382"/>
      <c r="F38" s="1382"/>
      <c r="G38" s="1382"/>
      <c r="H38" s="1382"/>
      <c r="I38" s="1382"/>
      <c r="J38" s="1382"/>
      <c r="K38" s="1382"/>
      <c r="R38" s="1332"/>
    </row>
    <row r="39" spans="1:18" s="1387" customFormat="1" ht="12.6" customHeight="1">
      <c r="A39" s="1328" t="s">
        <v>883</v>
      </c>
      <c r="B39" s="1500" t="s">
        <v>884</v>
      </c>
      <c r="C39" s="1500"/>
      <c r="D39" s="1500"/>
      <c r="E39" s="1500"/>
      <c r="F39" s="1500"/>
      <c r="G39" s="1500"/>
      <c r="H39" s="1500"/>
      <c r="I39" s="1500"/>
      <c r="J39" s="1500"/>
      <c r="K39" s="1386"/>
      <c r="R39" s="1364"/>
    </row>
    <row r="40" spans="1:18" s="1387" customFormat="1" ht="12.6" customHeight="1">
      <c r="A40" s="1328"/>
      <c r="B40" s="1500"/>
      <c r="C40" s="1500"/>
      <c r="D40" s="1500"/>
      <c r="E40" s="1500"/>
      <c r="F40" s="1500"/>
      <c r="G40" s="1500"/>
      <c r="H40" s="1500"/>
      <c r="I40" s="1500"/>
      <c r="J40" s="1500"/>
      <c r="K40" s="1386"/>
      <c r="R40" s="1364"/>
    </row>
    <row r="41" spans="1:18" ht="5.0999999999999996" customHeight="1">
      <c r="B41" s="1382"/>
      <c r="C41" s="1382"/>
      <c r="D41" s="1382"/>
      <c r="E41" s="1382"/>
      <c r="F41" s="1382"/>
      <c r="G41" s="1382"/>
      <c r="H41" s="1382"/>
      <c r="I41" s="1382"/>
      <c r="J41" s="1382"/>
      <c r="K41" s="1382"/>
      <c r="R41" s="1332"/>
    </row>
    <row r="42" spans="1:18">
      <c r="A42" s="1328" t="s">
        <v>885</v>
      </c>
      <c r="B42" s="1388" t="s">
        <v>886</v>
      </c>
      <c r="C42" s="1382"/>
      <c r="D42" s="1382"/>
      <c r="E42" s="1382"/>
      <c r="F42" s="1382"/>
      <c r="G42" s="1382"/>
      <c r="H42" s="1382"/>
      <c r="I42" s="1382"/>
      <c r="J42" s="1382"/>
      <c r="K42" s="1382"/>
      <c r="R42" s="1332"/>
    </row>
    <row r="43" spans="1:18" ht="8.1" customHeight="1">
      <c r="B43" s="1388"/>
      <c r="C43" s="1382"/>
      <c r="D43" s="1382"/>
      <c r="E43" s="1382"/>
      <c r="F43" s="1382"/>
      <c r="G43" s="1382"/>
      <c r="H43" s="1382"/>
      <c r="I43" s="1382"/>
      <c r="J43" s="1382"/>
      <c r="K43" s="1382"/>
      <c r="R43" s="1332"/>
    </row>
    <row r="44" spans="1:18">
      <c r="A44" s="1372" t="s">
        <v>887</v>
      </c>
      <c r="B44" s="1499"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99"/>
      <c r="D44" s="1499"/>
      <c r="E44" s="1499"/>
      <c r="F44" s="1499"/>
      <c r="G44" s="1499"/>
      <c r="H44" s="1499"/>
      <c r="I44" s="1499"/>
      <c r="J44" s="1382"/>
      <c r="K44" s="1383"/>
      <c r="R44" s="1332"/>
    </row>
    <row r="45" spans="1:18" ht="11.45" customHeight="1">
      <c r="B45" s="1499"/>
      <c r="C45" s="1499"/>
      <c r="D45" s="1499"/>
      <c r="E45" s="1499"/>
      <c r="F45" s="1499"/>
      <c r="G45" s="1499"/>
      <c r="H45" s="1499"/>
      <c r="I45" s="1499"/>
      <c r="J45" s="1382"/>
      <c r="R45" s="1332"/>
    </row>
    <row r="46" spans="1:18">
      <c r="R46" s="1332"/>
    </row>
    <row r="47" spans="1:18">
      <c r="R47" s="1332"/>
    </row>
    <row r="48" spans="1:18">
      <c r="R48" s="1332"/>
    </row>
    <row r="53" spans="1:11">
      <c r="A53" s="1381"/>
      <c r="B53" s="1381"/>
      <c r="C53" s="1381"/>
      <c r="D53" s="1381"/>
      <c r="E53" s="1381"/>
      <c r="F53" s="1381"/>
      <c r="G53" s="1381"/>
      <c r="H53" s="1381"/>
      <c r="I53" s="1381"/>
      <c r="J53" s="1381"/>
      <c r="K53" s="1381"/>
    </row>
    <row r="54" spans="1:11">
      <c r="A54" s="1381"/>
      <c r="B54" s="1381"/>
      <c r="C54" s="1381"/>
      <c r="D54" s="1381"/>
      <c r="E54" s="1381"/>
      <c r="F54" s="1381"/>
      <c r="G54" s="1381"/>
      <c r="H54" s="1381"/>
      <c r="I54" s="1381"/>
      <c r="J54" s="1381"/>
      <c r="K54" s="1381"/>
    </row>
    <row r="55" spans="1:11">
      <c r="D55" s="1381"/>
      <c r="E55" s="1381"/>
      <c r="F55" s="1381"/>
      <c r="G55" s="1381"/>
      <c r="H55" s="1381"/>
      <c r="I55" s="1381"/>
      <c r="J55" s="1381"/>
      <c r="K55" s="1381"/>
    </row>
    <row r="56" spans="1:11">
      <c r="A56" s="1381"/>
      <c r="B56" s="1381"/>
      <c r="C56" s="1381"/>
      <c r="D56" s="1381"/>
      <c r="E56" s="1381"/>
      <c r="F56" s="1381"/>
      <c r="G56" s="1381"/>
      <c r="H56" s="1381"/>
      <c r="I56" s="1381"/>
      <c r="J56" s="1381"/>
      <c r="K56" s="1381"/>
    </row>
    <row r="57" spans="1:11">
      <c r="A57" s="1381"/>
      <c r="B57" s="1381"/>
      <c r="C57" s="1381"/>
      <c r="D57" s="1381"/>
      <c r="E57" s="1381"/>
      <c r="F57" s="1381"/>
      <c r="G57" s="1381"/>
      <c r="H57" s="1381"/>
      <c r="I57" s="1381"/>
      <c r="J57" s="1381"/>
      <c r="K57" s="1381"/>
    </row>
    <row r="58" spans="1:11">
      <c r="A58" s="1381"/>
      <c r="B58" s="1381"/>
      <c r="C58" s="1381"/>
      <c r="D58" s="1381"/>
      <c r="E58" s="1381"/>
      <c r="F58" s="1381"/>
      <c r="G58" s="1381"/>
      <c r="H58" s="1381"/>
      <c r="I58" s="1381"/>
      <c r="J58" s="1381"/>
      <c r="K58" s="1381"/>
    </row>
    <row r="59" spans="1:11">
      <c r="A59" s="1381"/>
      <c r="B59" s="1381"/>
      <c r="C59" s="1381"/>
      <c r="D59" s="1381"/>
      <c r="E59" s="1381"/>
      <c r="F59" s="1381"/>
      <c r="G59" s="1381"/>
      <c r="H59" s="1381"/>
      <c r="I59" s="1381"/>
      <c r="J59" s="1381"/>
      <c r="K59" s="1381"/>
    </row>
    <row r="60" spans="1:11">
      <c r="A60" s="1381"/>
      <c r="B60" s="1381"/>
      <c r="C60" s="1381"/>
      <c r="D60" s="1381"/>
      <c r="E60" s="1381"/>
      <c r="F60" s="1381"/>
      <c r="G60" s="1381"/>
      <c r="H60" s="1381"/>
      <c r="I60" s="1381"/>
      <c r="J60" s="1381"/>
      <c r="K60" s="1381"/>
    </row>
    <row r="61" spans="1:11">
      <c r="A61" s="1381"/>
      <c r="B61" s="1381"/>
      <c r="C61" s="1381"/>
      <c r="D61" s="1381"/>
      <c r="E61" s="1381"/>
      <c r="F61" s="1381"/>
      <c r="G61" s="1381"/>
      <c r="H61" s="1381"/>
      <c r="I61" s="1381"/>
      <c r="J61" s="1381"/>
      <c r="K61" s="1381"/>
    </row>
    <row r="62" spans="1:11">
      <c r="A62" s="1381"/>
      <c r="B62" s="1381"/>
      <c r="C62" s="1381"/>
      <c r="D62" s="1381"/>
      <c r="E62" s="1381"/>
      <c r="F62" s="1381"/>
      <c r="G62" s="1381"/>
      <c r="H62" s="1381"/>
      <c r="I62" s="1381"/>
      <c r="J62" s="1381"/>
      <c r="K62" s="1381"/>
    </row>
    <row r="63" spans="1:11">
      <c r="A63" s="1381"/>
      <c r="B63" s="1381"/>
      <c r="C63" s="1381"/>
      <c r="D63" s="1381"/>
      <c r="E63" s="1381"/>
      <c r="F63" s="1381"/>
      <c r="G63" s="1381"/>
      <c r="H63" s="1381"/>
      <c r="I63" s="1381"/>
      <c r="J63" s="1381"/>
      <c r="K63" s="1381"/>
    </row>
    <row r="70" spans="1:11">
      <c r="B70" s="1372"/>
    </row>
    <row r="71" spans="1:11">
      <c r="B71" s="1383"/>
    </row>
    <row r="72" spans="1:11">
      <c r="B72" s="1383"/>
    </row>
    <row r="73" spans="1:11">
      <c r="B73" s="1383"/>
    </row>
    <row r="74" spans="1:11">
      <c r="B74" s="1383"/>
      <c r="D74" s="1387"/>
      <c r="E74" s="1387"/>
      <c r="F74" s="1387"/>
    </row>
    <row r="75" spans="1:11">
      <c r="A75" s="1389"/>
      <c r="B75" s="1381"/>
      <c r="C75" s="1381"/>
      <c r="D75" s="1381"/>
      <c r="E75" s="1381"/>
      <c r="F75" s="1381"/>
      <c r="G75" s="1381"/>
      <c r="H75" s="1381"/>
      <c r="I75" s="1381"/>
      <c r="J75" s="1381"/>
      <c r="K75" s="1381"/>
    </row>
    <row r="76" spans="1:11">
      <c r="A76" s="1381"/>
      <c r="B76" s="1381"/>
      <c r="C76" s="1381"/>
      <c r="D76" s="1381"/>
      <c r="E76" s="1381"/>
      <c r="F76" s="1381"/>
      <c r="G76" s="1381"/>
      <c r="H76" s="1381"/>
      <c r="I76" s="1381"/>
      <c r="J76" s="1381"/>
      <c r="K76" s="1381"/>
    </row>
    <row r="77" spans="1:11">
      <c r="A77" s="1381"/>
      <c r="B77" s="1381"/>
      <c r="C77" s="1381"/>
      <c r="D77" s="1381"/>
      <c r="E77" s="1381"/>
      <c r="F77" s="1381"/>
      <c r="G77" s="1381"/>
      <c r="H77" s="1381"/>
      <c r="I77" s="1381"/>
      <c r="J77" s="1381"/>
      <c r="K77" s="1381"/>
    </row>
    <row r="78" spans="1:11">
      <c r="A78" s="1381"/>
      <c r="B78" s="1381"/>
      <c r="C78" s="1381"/>
      <c r="D78" s="1381"/>
      <c r="E78" s="1381"/>
      <c r="F78" s="1381"/>
      <c r="G78" s="1381"/>
      <c r="H78" s="1381"/>
      <c r="I78" s="1381"/>
      <c r="J78" s="1381"/>
      <c r="K78" s="1381"/>
    </row>
    <row r="79" spans="1:11">
      <c r="A79" s="1381"/>
      <c r="B79" s="1381"/>
      <c r="C79" s="1381"/>
      <c r="D79" s="1390"/>
      <c r="E79" s="1390"/>
      <c r="F79" s="1390"/>
      <c r="G79" s="1381"/>
      <c r="H79" s="1381"/>
      <c r="I79" s="1381"/>
      <c r="J79" s="1381"/>
      <c r="K79" s="1381"/>
    </row>
    <row r="80" spans="1:11">
      <c r="A80" s="1381"/>
      <c r="B80" s="1381"/>
      <c r="C80" s="1381"/>
      <c r="D80" s="1384"/>
      <c r="E80" s="1384"/>
      <c r="F80" s="1384"/>
      <c r="G80" s="1381"/>
      <c r="H80" s="1381"/>
      <c r="I80" s="1381"/>
      <c r="J80" s="1381"/>
      <c r="K80" s="1381"/>
    </row>
    <row r="81" spans="1:11">
      <c r="A81" s="1381"/>
      <c r="B81" s="1381"/>
      <c r="C81" s="1381"/>
      <c r="D81" s="1390"/>
      <c r="E81" s="1390"/>
      <c r="F81" s="1390"/>
      <c r="G81" s="1381"/>
      <c r="H81" s="1381"/>
      <c r="I81" s="1381"/>
      <c r="J81" s="1381"/>
      <c r="K81" s="1381"/>
    </row>
    <row r="82" spans="1:11">
      <c r="A82" s="1381"/>
      <c r="B82" s="1381"/>
      <c r="C82" s="1381"/>
      <c r="D82" s="1381"/>
      <c r="E82" s="1381"/>
      <c r="F82" s="1381"/>
      <c r="G82" s="1381"/>
      <c r="H82" s="1381"/>
      <c r="I82" s="1381"/>
      <c r="J82" s="1381"/>
      <c r="K82" s="1381"/>
    </row>
    <row r="83" spans="1:11">
      <c r="A83" s="1381"/>
      <c r="B83" s="1381"/>
      <c r="C83" s="1381"/>
      <c r="D83" s="1381"/>
      <c r="E83" s="1381"/>
      <c r="F83" s="1381"/>
      <c r="G83" s="1381"/>
      <c r="H83" s="1381"/>
      <c r="I83" s="1381"/>
      <c r="J83" s="1381"/>
      <c r="K83" s="1381"/>
    </row>
    <row r="84" spans="1:11">
      <c r="A84" s="1381"/>
      <c r="B84" s="1381"/>
      <c r="C84" s="1381"/>
      <c r="D84" s="1381"/>
      <c r="E84" s="1381"/>
      <c r="F84" s="1381"/>
      <c r="G84" s="1381"/>
      <c r="H84" s="1381"/>
      <c r="I84" s="1381"/>
      <c r="J84" s="1381"/>
      <c r="K84" s="1381"/>
    </row>
    <row r="85" spans="1:11">
      <c r="A85" s="1381"/>
      <c r="C85" s="1381"/>
      <c r="D85" s="1381"/>
      <c r="E85" s="1381"/>
      <c r="F85" s="1381"/>
      <c r="G85" s="1381"/>
      <c r="H85" s="1381"/>
      <c r="I85" s="1381"/>
      <c r="J85" s="1381"/>
      <c r="K85" s="1381"/>
    </row>
    <row r="86" spans="1:11">
      <c r="A86" s="1381"/>
      <c r="B86" s="1381"/>
      <c r="C86" s="1381"/>
      <c r="D86" s="1381"/>
      <c r="E86" s="1381"/>
      <c r="F86" s="1381"/>
      <c r="G86" s="1381"/>
      <c r="H86" s="1381"/>
      <c r="I86" s="1381"/>
      <c r="J86" s="1381"/>
      <c r="K86" s="1381"/>
    </row>
    <row r="87" spans="1:11">
      <c r="A87" s="1381"/>
      <c r="B87" s="1381"/>
      <c r="C87" s="1381"/>
      <c r="D87" s="1381"/>
      <c r="E87" s="1381"/>
      <c r="F87" s="1381"/>
      <c r="G87" s="1381"/>
      <c r="H87" s="1381"/>
      <c r="I87" s="1381"/>
      <c r="J87" s="1381"/>
      <c r="K87" s="1381"/>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3787-3B10-4689-BD9D-7A9BA80752D1}">
  <dimension ref="A1:O42"/>
  <sheetViews>
    <sheetView workbookViewId="0">
      <selection activeCell="B40" sqref="B40:O40"/>
    </sheetView>
  </sheetViews>
  <sheetFormatPr defaultRowHeight="12.75"/>
  <cols>
    <col min="1" max="4" width="9.140625" style="1414"/>
    <col min="5" max="5" width="30.28515625" style="1414" bestFit="1" customWidth="1"/>
    <col min="6" max="6" width="13" style="1414" customWidth="1"/>
    <col min="7" max="7" width="9.140625" style="1414"/>
    <col min="8" max="8" width="15.28515625" style="1414" customWidth="1"/>
    <col min="9" max="9" width="2.42578125" style="1414" customWidth="1"/>
    <col min="10" max="10" width="14.7109375" style="1414" customWidth="1"/>
    <col min="11" max="11" width="2.5703125" style="1414" customWidth="1"/>
    <col min="12" max="12" width="18.42578125" style="1414" customWidth="1"/>
    <col min="13" max="13" width="13.42578125" style="1414" customWidth="1"/>
    <col min="14" max="14" width="4.42578125" style="1414" customWidth="1"/>
    <col min="15" max="15" width="15.28515625" style="1414" customWidth="1"/>
    <col min="16" max="16384" width="9.140625" style="1414"/>
  </cols>
  <sheetData>
    <row r="1" spans="1:15" ht="15">
      <c r="A1" s="1413" t="s">
        <v>938</v>
      </c>
      <c r="L1" s="1415"/>
      <c r="M1" s="1415"/>
      <c r="N1" s="1416"/>
      <c r="O1" s="1417" t="s">
        <v>939</v>
      </c>
    </row>
    <row r="2" spans="1:15">
      <c r="A2" s="1413" t="s">
        <v>940</v>
      </c>
      <c r="N2" s="1416"/>
      <c r="O2" s="1418" t="s">
        <v>941</v>
      </c>
    </row>
    <row r="3" spans="1:15">
      <c r="A3" s="1413" t="s">
        <v>942</v>
      </c>
      <c r="N3" s="1416"/>
      <c r="O3" s="1418" t="s">
        <v>943</v>
      </c>
    </row>
    <row r="4" spans="1:15">
      <c r="A4" s="1413" t="s">
        <v>944</v>
      </c>
      <c r="N4" s="1416"/>
      <c r="O4" s="1417" t="s">
        <v>945</v>
      </c>
    </row>
    <row r="5" spans="1:15">
      <c r="A5" s="1413" t="s">
        <v>946</v>
      </c>
      <c r="N5" s="1416"/>
      <c r="O5" s="1419"/>
    </row>
    <row r="6" spans="1:15">
      <c r="A6" s="1413" t="s">
        <v>818</v>
      </c>
      <c r="N6" s="1416"/>
    </row>
    <row r="7" spans="1:15">
      <c r="A7" s="1506" t="s">
        <v>947</v>
      </c>
      <c r="B7" s="1506"/>
      <c r="C7" s="1506"/>
      <c r="D7" s="1506"/>
      <c r="E7" s="1506"/>
      <c r="F7" s="1506"/>
      <c r="G7" s="1506"/>
      <c r="H7" s="1506"/>
      <c r="I7" s="1506"/>
      <c r="J7" s="1506"/>
      <c r="K7" s="1506"/>
      <c r="L7" s="1506"/>
      <c r="M7" s="1420"/>
      <c r="N7" s="1416"/>
    </row>
    <row r="8" spans="1:15">
      <c r="A8" s="1413"/>
      <c r="N8" s="1416"/>
    </row>
    <row r="9" spans="1:15">
      <c r="A9" s="1421" t="s">
        <v>438</v>
      </c>
      <c r="B9" s="1422" t="s">
        <v>439</v>
      </c>
      <c r="C9" s="1422"/>
      <c r="D9" s="1422" t="s">
        <v>440</v>
      </c>
      <c r="E9" s="1422" t="s">
        <v>441</v>
      </c>
      <c r="F9" s="1422" t="s">
        <v>442</v>
      </c>
      <c r="G9" s="1422"/>
      <c r="H9" s="1422" t="s">
        <v>948</v>
      </c>
      <c r="I9" s="1422"/>
      <c r="J9" s="1422" t="s">
        <v>444</v>
      </c>
      <c r="K9" s="1422"/>
      <c r="L9" s="1422" t="s">
        <v>949</v>
      </c>
      <c r="M9" s="1422" t="s">
        <v>446</v>
      </c>
      <c r="N9" s="1416"/>
      <c r="O9" s="1422" t="s">
        <v>950</v>
      </c>
    </row>
    <row r="10" spans="1:15">
      <c r="A10" s="1423"/>
      <c r="F10" s="1424"/>
      <c r="G10" s="1424"/>
      <c r="H10" s="1424"/>
      <c r="N10" s="1416"/>
    </row>
    <row r="11" spans="1:15" ht="63.75">
      <c r="A11" s="1423" t="s">
        <v>951</v>
      </c>
      <c r="B11" s="1414" t="s">
        <v>952</v>
      </c>
      <c r="D11" s="1425" t="s">
        <v>953</v>
      </c>
      <c r="E11" s="1422" t="s">
        <v>836</v>
      </c>
      <c r="F11" s="1425" t="s">
        <v>954</v>
      </c>
      <c r="G11" s="1425"/>
      <c r="H11" s="1425" t="s">
        <v>955</v>
      </c>
      <c r="J11" s="1425" t="s">
        <v>956</v>
      </c>
      <c r="L11" s="1425" t="s">
        <v>957</v>
      </c>
      <c r="M11" s="1425" t="s">
        <v>958</v>
      </c>
      <c r="N11" s="1416"/>
      <c r="O11" s="1425" t="s">
        <v>959</v>
      </c>
    </row>
    <row r="12" spans="1:15">
      <c r="A12" s="1413"/>
      <c r="D12" s="1416"/>
      <c r="E12" s="1416"/>
      <c r="F12" s="1416"/>
      <c r="G12" s="1416"/>
      <c r="H12" s="1416"/>
      <c r="I12" s="1416"/>
      <c r="J12" s="1416"/>
      <c r="K12" s="1416"/>
      <c r="L12" s="1416"/>
      <c r="M12" s="1416"/>
      <c r="N12" s="1416"/>
    </row>
    <row r="13" spans="1:15">
      <c r="A13" s="1426">
        <v>1</v>
      </c>
      <c r="B13" s="1427" t="s">
        <v>960</v>
      </c>
      <c r="D13" s="1416">
        <v>30979</v>
      </c>
      <c r="E13" s="1416" t="s">
        <v>961</v>
      </c>
      <c r="K13" s="1416"/>
      <c r="L13" s="1416"/>
      <c r="M13" s="1416"/>
      <c r="N13" s="1416"/>
    </row>
    <row r="14" spans="1:15">
      <c r="A14" s="1426">
        <f>+A13+1</f>
        <v>2</v>
      </c>
      <c r="B14" s="1427"/>
      <c r="D14" s="1428">
        <v>16823.240000000002</v>
      </c>
      <c r="E14" s="1416" t="s">
        <v>962</v>
      </c>
      <c r="F14" s="1429"/>
      <c r="G14" s="1430"/>
      <c r="H14" s="1429"/>
      <c r="I14" s="1429"/>
      <c r="J14" s="1429"/>
      <c r="K14" s="1416"/>
      <c r="L14" s="1416"/>
      <c r="M14" s="1416"/>
      <c r="N14" s="1416"/>
    </row>
    <row r="15" spans="1:15">
      <c r="A15" s="1426">
        <f>+A14+1</f>
        <v>3</v>
      </c>
      <c r="B15" s="1427" t="s">
        <v>963</v>
      </c>
      <c r="D15" s="1416">
        <f>+D13-D14</f>
        <v>14155.759999999998</v>
      </c>
      <c r="F15" s="1429">
        <v>4955.3</v>
      </c>
      <c r="G15" s="1430"/>
      <c r="H15" s="1431">
        <f>+F15/D15</f>
        <v>0.35005538381549284</v>
      </c>
      <c r="J15" s="1429">
        <f>-F15</f>
        <v>-4955.3</v>
      </c>
      <c r="K15" s="1429"/>
      <c r="L15" s="1429">
        <f>+F15+J15</f>
        <v>0</v>
      </c>
      <c r="M15" s="1429" t="s">
        <v>852</v>
      </c>
      <c r="N15" s="1416"/>
      <c r="O15" s="1416">
        <f>+D15-L15</f>
        <v>14155.759999999998</v>
      </c>
    </row>
    <row r="16" spans="1:15">
      <c r="A16" s="1413"/>
      <c r="B16" s="1427"/>
      <c r="D16" s="1416"/>
      <c r="E16" s="1416"/>
      <c r="F16" s="1432"/>
      <c r="G16" s="1430"/>
      <c r="J16" s="1429"/>
      <c r="K16" s="1429"/>
      <c r="L16" s="1429"/>
      <c r="M16" s="1429"/>
      <c r="N16" s="1416"/>
      <c r="O16" s="1416"/>
    </row>
    <row r="17" spans="1:15">
      <c r="A17" s="1426">
        <f>+A15+1</f>
        <v>4</v>
      </c>
      <c r="B17" s="1427" t="s">
        <v>964</v>
      </c>
      <c r="D17" s="1416">
        <v>-24138</v>
      </c>
      <c r="E17" s="1416" t="s">
        <v>965</v>
      </c>
      <c r="F17" s="1429">
        <v>-9654.89</v>
      </c>
      <c r="G17" s="1432"/>
      <c r="H17" s="1431">
        <f>+F17/D17</f>
        <v>0.39998715717955091</v>
      </c>
      <c r="J17" s="1429">
        <v>0</v>
      </c>
      <c r="K17" s="1429"/>
      <c r="L17" s="1429">
        <f>+F17+J17</f>
        <v>-9654.89</v>
      </c>
      <c r="M17" s="1429" t="s">
        <v>848</v>
      </c>
      <c r="N17" s="1416"/>
      <c r="O17" s="1416">
        <f>+D17-L17</f>
        <v>-14483.11</v>
      </c>
    </row>
    <row r="18" spans="1:15">
      <c r="A18" s="1426"/>
      <c r="B18" s="1427"/>
      <c r="D18" s="1416"/>
      <c r="E18" s="1416"/>
      <c r="F18" s="1429"/>
      <c r="G18" s="1429"/>
      <c r="J18" s="1429"/>
      <c r="K18" s="1429"/>
      <c r="L18" s="1429"/>
      <c r="M18" s="1429"/>
      <c r="N18" s="1416"/>
      <c r="O18" s="1416"/>
    </row>
    <row r="19" spans="1:15">
      <c r="A19" s="1426">
        <f>+A17+1</f>
        <v>5</v>
      </c>
      <c r="B19" s="1427" t="s">
        <v>966</v>
      </c>
      <c r="D19" s="1416">
        <v>-23866</v>
      </c>
      <c r="E19" s="1416" t="s">
        <v>967</v>
      </c>
      <c r="N19" s="1416"/>
      <c r="O19" s="1416"/>
    </row>
    <row r="20" spans="1:15">
      <c r="A20" s="1426">
        <f>+A19+1</f>
        <v>6</v>
      </c>
      <c r="B20" s="1427"/>
      <c r="D20" s="1428">
        <v>-17978</v>
      </c>
      <c r="E20" s="1416" t="s">
        <v>968</v>
      </c>
      <c r="F20" s="1429"/>
      <c r="G20" s="1433"/>
      <c r="H20" s="1431"/>
      <c r="J20" s="1429"/>
      <c r="K20" s="1429"/>
      <c r="L20" s="1429"/>
      <c r="M20" s="1429"/>
      <c r="N20" s="1416"/>
      <c r="O20" s="1416"/>
    </row>
    <row r="21" spans="1:15">
      <c r="A21" s="1426">
        <f>+A20+1</f>
        <v>7</v>
      </c>
      <c r="B21" s="1427" t="s">
        <v>969</v>
      </c>
      <c r="D21" s="1416">
        <f>+D19-D20</f>
        <v>-5888</v>
      </c>
      <c r="E21" s="1416"/>
      <c r="F21" s="1429">
        <v>-2355.25</v>
      </c>
      <c r="G21" s="1433"/>
      <c r="H21" s="1431">
        <f>+F21/D21</f>
        <v>0.40000849184782611</v>
      </c>
      <c r="J21" s="1429">
        <f>-J15-J17</f>
        <v>4955.3</v>
      </c>
      <c r="K21" s="1429"/>
      <c r="L21" s="1429">
        <f>+F21+J21</f>
        <v>2600.0500000000002</v>
      </c>
      <c r="M21" s="1429" t="s">
        <v>852</v>
      </c>
      <c r="N21" s="1416"/>
      <c r="O21" s="1416">
        <f>+D21-L21</f>
        <v>-8488.0499999999993</v>
      </c>
    </row>
    <row r="22" spans="1:15">
      <c r="A22" s="1413"/>
      <c r="D22" s="1416"/>
      <c r="E22" s="1416"/>
      <c r="F22" s="1429"/>
      <c r="G22" s="1434"/>
      <c r="J22" s="1429"/>
      <c r="K22" s="1429"/>
      <c r="L22" s="1429"/>
      <c r="M22" s="1429"/>
      <c r="N22" s="1416"/>
    </row>
    <row r="23" spans="1:15">
      <c r="A23" s="1426">
        <f>+A21+1</f>
        <v>8</v>
      </c>
      <c r="B23" s="1414" t="s">
        <v>410</v>
      </c>
      <c r="D23" s="1435">
        <f>+D15+D17+D21</f>
        <v>-15870.240000000002</v>
      </c>
      <c r="E23" s="1416"/>
      <c r="F23" s="1435">
        <f>SUM(F14:F21)</f>
        <v>-7054.8399999999992</v>
      </c>
      <c r="J23" s="1435">
        <f>+J15+J17+J21</f>
        <v>0</v>
      </c>
      <c r="K23" s="1416"/>
      <c r="L23" s="1435">
        <f>+L15+L17+L21</f>
        <v>-7054.8399999999992</v>
      </c>
      <c r="M23" s="1436"/>
      <c r="N23" s="1416"/>
      <c r="O23" s="1435">
        <f>+O15+O17+O21</f>
        <v>-8815.4000000000015</v>
      </c>
    </row>
    <row r="24" spans="1:15">
      <c r="A24" s="1413"/>
      <c r="D24" s="1416"/>
      <c r="E24" s="1437"/>
      <c r="F24" s="1431"/>
      <c r="G24" s="1416"/>
      <c r="H24" s="1416"/>
      <c r="I24" s="1416"/>
      <c r="J24" s="1416"/>
      <c r="K24" s="1416"/>
      <c r="L24" s="1416"/>
      <c r="M24" s="1416"/>
      <c r="N24" s="1416"/>
    </row>
    <row r="25" spans="1:15">
      <c r="A25" s="1413"/>
      <c r="D25" s="1416"/>
      <c r="E25" s="1437"/>
      <c r="F25" s="1431"/>
      <c r="G25" s="1416"/>
      <c r="H25" s="1416"/>
      <c r="I25" s="1416"/>
      <c r="J25" s="1416"/>
      <c r="K25" s="1416"/>
      <c r="L25" s="1416"/>
      <c r="M25" s="1416"/>
      <c r="N25" s="1416"/>
    </row>
    <row r="26" spans="1:15">
      <c r="A26" s="1507" t="s">
        <v>970</v>
      </c>
      <c r="B26" s="1507"/>
      <c r="C26" s="1507"/>
      <c r="D26" s="1507"/>
      <c r="E26" s="1507"/>
      <c r="F26" s="1507"/>
      <c r="G26" s="1507"/>
      <c r="H26" s="1507"/>
      <c r="I26" s="1507"/>
      <c r="J26" s="1438"/>
      <c r="K26" s="1438"/>
      <c r="L26" s="1416"/>
      <c r="M26" s="1416"/>
      <c r="N26" s="1416"/>
    </row>
    <row r="27" spans="1:15">
      <c r="A27" s="1507"/>
      <c r="B27" s="1507"/>
      <c r="C27" s="1507"/>
      <c r="D27" s="1507"/>
      <c r="E27" s="1507"/>
      <c r="F27" s="1507"/>
      <c r="G27" s="1507"/>
      <c r="H27" s="1507"/>
      <c r="I27" s="1507"/>
      <c r="J27" s="1438"/>
      <c r="K27" s="1438"/>
      <c r="L27" s="1416"/>
      <c r="M27" s="1416"/>
      <c r="N27" s="1416"/>
    </row>
    <row r="28" spans="1:15">
      <c r="A28" s="1507"/>
      <c r="B28" s="1507"/>
      <c r="C28" s="1507"/>
      <c r="D28" s="1507"/>
      <c r="E28" s="1507"/>
      <c r="F28" s="1507"/>
      <c r="G28" s="1507"/>
      <c r="H28" s="1507"/>
      <c r="I28" s="1507"/>
      <c r="J28" s="1438"/>
      <c r="K28" s="1438"/>
      <c r="L28" s="1416"/>
      <c r="M28" s="1416"/>
      <c r="N28" s="1416"/>
    </row>
    <row r="29" spans="1:15">
      <c r="A29" s="1439"/>
      <c r="B29" s="1439"/>
      <c r="C29" s="1439"/>
      <c r="D29" s="1439"/>
      <c r="E29" s="1439"/>
      <c r="F29" s="1439"/>
      <c r="G29" s="1439"/>
      <c r="H29" s="1439"/>
      <c r="I29" s="1439"/>
      <c r="J29" s="1438"/>
      <c r="K29" s="1438"/>
      <c r="L29" s="1416"/>
      <c r="M29" s="1416"/>
      <c r="N29" s="1416"/>
    </row>
    <row r="30" spans="1:15" ht="12.75" customHeight="1">
      <c r="A30" s="1440" t="s">
        <v>971</v>
      </c>
      <c r="B30" s="1508" t="s">
        <v>972</v>
      </c>
      <c r="C30" s="1508"/>
      <c r="D30" s="1508"/>
      <c r="E30" s="1508"/>
      <c r="F30" s="1508"/>
      <c r="G30" s="1508"/>
      <c r="H30" s="1508"/>
      <c r="I30" s="1508"/>
      <c r="J30" s="1508"/>
      <c r="K30" s="1508"/>
      <c r="L30" s="1508"/>
      <c r="M30" s="1508"/>
      <c r="N30" s="1508"/>
      <c r="O30" s="1508"/>
    </row>
    <row r="31" spans="1:15">
      <c r="A31" s="1440"/>
      <c r="B31" s="1508"/>
      <c r="C31" s="1508"/>
      <c r="D31" s="1508"/>
      <c r="E31" s="1508"/>
      <c r="F31" s="1508"/>
      <c r="G31" s="1508"/>
      <c r="H31" s="1508"/>
      <c r="I31" s="1508"/>
      <c r="J31" s="1508"/>
      <c r="K31" s="1508"/>
      <c r="L31" s="1508"/>
      <c r="M31" s="1508"/>
      <c r="N31" s="1508"/>
      <c r="O31" s="1508"/>
    </row>
    <row r="32" spans="1:15">
      <c r="A32" s="1440"/>
      <c r="B32" s="1508"/>
      <c r="C32" s="1508"/>
      <c r="D32" s="1508"/>
      <c r="E32" s="1508"/>
      <c r="F32" s="1508"/>
      <c r="G32" s="1508"/>
      <c r="H32" s="1508"/>
      <c r="I32" s="1508"/>
      <c r="J32" s="1508"/>
      <c r="K32" s="1508"/>
      <c r="L32" s="1508"/>
      <c r="M32" s="1508"/>
      <c r="N32" s="1508"/>
      <c r="O32" s="1508"/>
    </row>
    <row r="33" spans="1:15">
      <c r="A33" s="1441"/>
      <c r="B33" s="1442"/>
      <c r="C33" s="1442"/>
      <c r="D33" s="1442"/>
      <c r="E33" s="1442"/>
      <c r="F33" s="1442"/>
      <c r="G33" s="1442"/>
      <c r="H33" s="1442"/>
      <c r="I33" s="1442"/>
      <c r="J33" s="1442"/>
      <c r="K33" s="1442"/>
      <c r="N33" s="1416"/>
    </row>
    <row r="34" spans="1:15" ht="12.75" customHeight="1">
      <c r="A34" s="1423" t="s">
        <v>973</v>
      </c>
      <c r="B34" s="1509" t="s">
        <v>974</v>
      </c>
      <c r="C34" s="1509"/>
      <c r="D34" s="1509"/>
      <c r="E34" s="1509"/>
      <c r="F34" s="1509"/>
      <c r="G34" s="1509"/>
      <c r="H34" s="1509"/>
      <c r="I34" s="1509"/>
      <c r="J34" s="1509"/>
      <c r="K34" s="1509"/>
      <c r="L34" s="1509"/>
      <c r="M34" s="1509"/>
      <c r="N34" s="1416"/>
    </row>
    <row r="35" spans="1:15">
      <c r="A35" s="1423"/>
      <c r="B35" s="1509"/>
      <c r="C35" s="1509"/>
      <c r="D35" s="1509"/>
      <c r="E35" s="1509"/>
      <c r="F35" s="1509"/>
      <c r="G35" s="1509"/>
      <c r="H35" s="1509"/>
      <c r="I35" s="1509"/>
      <c r="J35" s="1509"/>
      <c r="K35" s="1509"/>
      <c r="L35" s="1509"/>
      <c r="M35" s="1509"/>
      <c r="N35" s="1416"/>
    </row>
    <row r="36" spans="1:15">
      <c r="A36" s="1423"/>
      <c r="N36" s="1416"/>
    </row>
    <row r="37" spans="1:15" ht="12.75" customHeight="1">
      <c r="A37" s="1423" t="s">
        <v>975</v>
      </c>
      <c r="B37" s="1509" t="s">
        <v>976</v>
      </c>
      <c r="C37" s="1509"/>
      <c r="D37" s="1509"/>
      <c r="E37" s="1509"/>
      <c r="F37" s="1509"/>
      <c r="G37" s="1509"/>
      <c r="H37" s="1509"/>
      <c r="I37" s="1509"/>
      <c r="J37" s="1509"/>
      <c r="K37" s="1509"/>
      <c r="N37" s="1416"/>
    </row>
    <row r="38" spans="1:15">
      <c r="A38" s="1423"/>
      <c r="B38" s="1509"/>
      <c r="C38" s="1509"/>
      <c r="D38" s="1509"/>
      <c r="E38" s="1509"/>
      <c r="F38" s="1509"/>
      <c r="G38" s="1509"/>
      <c r="H38" s="1509"/>
      <c r="I38" s="1509"/>
      <c r="J38" s="1509"/>
      <c r="K38" s="1509"/>
      <c r="N38" s="1416"/>
    </row>
    <row r="40" spans="1:15" ht="12.75" customHeight="1">
      <c r="A40" s="1423" t="s">
        <v>977</v>
      </c>
      <c r="B40" s="1505" t="s">
        <v>978</v>
      </c>
      <c r="C40" s="1505"/>
      <c r="D40" s="1505"/>
      <c r="E40" s="1505"/>
      <c r="F40" s="1505"/>
      <c r="G40" s="1505"/>
      <c r="H40" s="1505"/>
      <c r="I40" s="1505"/>
      <c r="J40" s="1505"/>
      <c r="K40" s="1505"/>
      <c r="L40" s="1505"/>
      <c r="M40" s="1505"/>
      <c r="N40" s="1505"/>
      <c r="O40" s="1505"/>
    </row>
    <row r="41" spans="1:15">
      <c r="A41" s="1423"/>
      <c r="B41" s="1423"/>
      <c r="C41" s="1423"/>
      <c r="D41" s="1423"/>
      <c r="E41" s="1423"/>
      <c r="F41" s="1423"/>
      <c r="G41" s="1423"/>
      <c r="H41" s="1423"/>
    </row>
    <row r="42" spans="1:15">
      <c r="O42" s="1416"/>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34" zoomScale="70" zoomScaleNormal="75" zoomScaleSheetLayoutView="70" workbookViewId="0">
      <selection activeCell="D39" sqref="D39"/>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1005" t="s">
        <v>406</v>
      </c>
    </row>
    <row r="2" spans="1:15" ht="15.75">
      <c r="A2" s="1005" t="s">
        <v>406</v>
      </c>
    </row>
    <row r="3" spans="1:15" ht="15">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c r="I3" s="1484" t="str">
        <f>TCOS!$F$5</f>
        <v>AEPTCo subsidiaries in PJM</v>
      </c>
      <c r="J3" s="1484" t="str">
        <f>TCOS!$F$5</f>
        <v>AEPTCo subsidiaries in PJM</v>
      </c>
      <c r="K3" s="1484" t="str">
        <f>TCOS!$F$5</f>
        <v>AEPTCo subsidiaries in PJM</v>
      </c>
      <c r="L3" s="1484" t="str">
        <f>TCOS!$F$5</f>
        <v>AEPTCo subsidiaries in PJM</v>
      </c>
      <c r="M3" s="421"/>
      <c r="N3" s="421"/>
      <c r="O3" s="421"/>
    </row>
    <row r="4" spans="1:15" ht="15">
      <c r="A4" s="1512" t="str">
        <f>"Cost of Service Formula Rate Using Actual/Projected FF1 Balances"</f>
        <v>Cost of Service Formula Rate Using Actual/Projected FF1 Balances</v>
      </c>
      <c r="B4" s="1512"/>
      <c r="C4" s="1512"/>
      <c r="D4" s="1512"/>
      <c r="E4" s="1512"/>
      <c r="F4" s="1512"/>
      <c r="G4" s="1512"/>
      <c r="H4" s="1512"/>
      <c r="I4" s="1512"/>
      <c r="J4" s="1512"/>
      <c r="K4" s="1512"/>
      <c r="L4" s="1512"/>
      <c r="M4" s="441"/>
      <c r="N4" s="441"/>
      <c r="O4" s="441"/>
    </row>
    <row r="5" spans="1:15" ht="15">
      <c r="A5" s="1512" t="s">
        <v>283</v>
      </c>
      <c r="B5" s="1512"/>
      <c r="C5" s="1512"/>
      <c r="D5" s="1512"/>
      <c r="E5" s="1512"/>
      <c r="F5" s="1512"/>
      <c r="G5" s="1512"/>
      <c r="H5" s="1512"/>
      <c r="I5" s="1512"/>
      <c r="J5" s="1512"/>
      <c r="K5" s="1512"/>
      <c r="L5" s="1512"/>
      <c r="M5" s="423"/>
      <c r="N5" s="423"/>
      <c r="O5" s="423"/>
    </row>
    <row r="6" spans="1:15" ht="15">
      <c r="A6" s="1513" t="str">
        <f>TCOS!F9</f>
        <v>AEP Appalachian Transmission Company</v>
      </c>
      <c r="B6" s="1513"/>
      <c r="C6" s="1513"/>
      <c r="D6" s="1513"/>
      <c r="E6" s="1513"/>
      <c r="F6" s="1513"/>
      <c r="G6" s="1513"/>
      <c r="H6" s="1513"/>
      <c r="I6" s="1513"/>
      <c r="J6" s="1513"/>
      <c r="K6" s="1513"/>
      <c r="L6" s="1513"/>
      <c r="M6" s="169"/>
      <c r="N6" s="169"/>
      <c r="O6" s="169"/>
    </row>
    <row r="7" spans="1:15" ht="15">
      <c r="A7" s="169"/>
      <c r="B7" s="169"/>
      <c r="C7" s="169"/>
      <c r="D7" s="169"/>
      <c r="E7" s="169"/>
      <c r="F7" s="169"/>
      <c r="G7" s="169"/>
      <c r="H7" s="442"/>
      <c r="I7" s="437"/>
      <c r="J7" s="437"/>
      <c r="K7" s="437"/>
      <c r="L7" s="437"/>
      <c r="M7" s="437"/>
      <c r="N7" s="437"/>
      <c r="O7" s="437"/>
    </row>
    <row r="8" spans="1:15" ht="12.75" customHeight="1">
      <c r="A8" s="443"/>
      <c r="B8" s="443" t="s">
        <v>452</v>
      </c>
      <c r="C8" s="443" t="s">
        <v>453</v>
      </c>
      <c r="D8" s="444" t="s">
        <v>323</v>
      </c>
      <c r="E8" s="444" t="s">
        <v>455</v>
      </c>
      <c r="F8" s="443"/>
      <c r="G8" s="443" t="s">
        <v>375</v>
      </c>
      <c r="H8" s="443"/>
      <c r="I8" s="443" t="s">
        <v>376</v>
      </c>
      <c r="J8" s="443" t="s">
        <v>377</v>
      </c>
      <c r="K8" s="443" t="s">
        <v>382</v>
      </c>
      <c r="L8" s="443" t="s">
        <v>288</v>
      </c>
      <c r="M8" s="443"/>
      <c r="N8" s="443"/>
      <c r="O8" s="443"/>
    </row>
    <row r="9" spans="1:15">
      <c r="A9" s="438"/>
    </row>
    <row r="10" spans="1:15" ht="18">
      <c r="A10" s="429"/>
      <c r="B10" s="1511" t="s">
        <v>489</v>
      </c>
      <c r="C10" s="1511"/>
      <c r="D10" s="1511"/>
      <c r="E10" s="1511"/>
      <c r="F10" s="1511"/>
      <c r="G10" s="1511"/>
      <c r="H10" s="1511"/>
      <c r="I10" s="1511"/>
      <c r="J10" s="1511"/>
      <c r="K10" s="1511"/>
      <c r="O10" s="427"/>
    </row>
    <row r="11" spans="1:15">
      <c r="A11" s="429"/>
      <c r="I11" s="156"/>
      <c r="J11" s="156"/>
      <c r="O11" s="427"/>
    </row>
    <row r="12" spans="1:15" ht="12.75" customHeight="1">
      <c r="A12" s="425" t="s">
        <v>459</v>
      </c>
      <c r="B12" s="433"/>
      <c r="C12" s="445"/>
      <c r="D12" s="446"/>
      <c r="E12" s="1515" t="str">
        <f>"Balance @ December 31, "&amp;TCOS!L4&amp;""</f>
        <v>Balance @ December 31, 2025</v>
      </c>
      <c r="F12" s="446"/>
      <c r="G12" s="1515" t="str">
        <f>"Balance @ December 31, "&amp;TCOS!L4-1&amp;""</f>
        <v>Balance @ December 31, 2024</v>
      </c>
      <c r="H12" s="447"/>
      <c r="I12" s="1517" t="str">
        <f>"Average Balance for "&amp;TCOS!L4&amp;""</f>
        <v>Average Balance for 2025</v>
      </c>
      <c r="J12" s="426"/>
      <c r="K12" s="430"/>
      <c r="L12" s="448"/>
      <c r="M12" s="430"/>
      <c r="N12" s="430"/>
      <c r="O12" s="427"/>
    </row>
    <row r="13" spans="1:15">
      <c r="A13" s="425" t="s">
        <v>397</v>
      </c>
      <c r="B13" s="431"/>
      <c r="C13" s="433"/>
      <c r="D13" s="449" t="s">
        <v>488</v>
      </c>
      <c r="E13" s="1516"/>
      <c r="F13" s="450"/>
      <c r="G13" s="1516"/>
      <c r="H13" s="451"/>
      <c r="I13" s="1518"/>
      <c r="J13" s="426"/>
      <c r="K13" s="452"/>
      <c r="L13" s="453"/>
      <c r="M13" s="428"/>
      <c r="N13" s="428"/>
    </row>
    <row r="14" spans="1:15">
      <c r="A14" s="431"/>
      <c r="B14" s="431"/>
      <c r="C14" s="433"/>
      <c r="D14" s="454"/>
      <c r="E14" s="436"/>
      <c r="F14" s="436"/>
      <c r="G14" s="455"/>
      <c r="H14" s="435"/>
      <c r="J14" s="156"/>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316</v>
      </c>
      <c r="D17" s="432" t="s">
        <v>210</v>
      </c>
      <c r="E17" s="501">
        <v>0</v>
      </c>
      <c r="F17" s="436"/>
      <c r="G17" s="501">
        <v>0</v>
      </c>
      <c r="H17" s="457"/>
      <c r="I17" s="434">
        <f>IF(G17="",0,(E17+G17)/2)</f>
        <v>0</v>
      </c>
      <c r="J17" s="173"/>
      <c r="K17" s="434"/>
      <c r="L17" s="457"/>
      <c r="M17" s="428"/>
      <c r="N17" s="428"/>
    </row>
    <row r="18" spans="1:14">
      <c r="A18" s="431"/>
      <c r="B18" s="431"/>
      <c r="C18" s="456"/>
      <c r="D18" s="173"/>
      <c r="E18" s="173"/>
      <c r="F18" s="173"/>
      <c r="G18" s="173"/>
      <c r="H18" s="173"/>
      <c r="I18" s="348"/>
      <c r="J18" s="173"/>
      <c r="K18" s="173"/>
      <c r="L18" s="457"/>
      <c r="M18" s="428"/>
      <c r="N18" s="428"/>
    </row>
    <row r="19" spans="1:14">
      <c r="A19" s="431">
        <f>+A17+1</f>
        <v>3</v>
      </c>
      <c r="B19" s="431"/>
      <c r="C19" s="456" t="s">
        <v>317</v>
      </c>
      <c r="D19" s="432" t="s">
        <v>211</v>
      </c>
      <c r="E19" s="501"/>
      <c r="F19" s="436"/>
      <c r="G19" s="501"/>
      <c r="H19" s="435"/>
      <c r="I19" s="434">
        <f>IF(G19="",0,(E19+G19)/2)</f>
        <v>0</v>
      </c>
      <c r="J19" s="156"/>
      <c r="K19" s="452"/>
      <c r="L19" s="453"/>
      <c r="M19" s="428"/>
      <c r="N19" s="428"/>
    </row>
    <row r="20" spans="1:14">
      <c r="A20" s="431"/>
      <c r="B20" s="431"/>
      <c r="C20" s="456"/>
      <c r="D20" s="432"/>
      <c r="E20" s="173"/>
      <c r="F20" s="173"/>
      <c r="G20" s="173"/>
      <c r="H20" s="173"/>
      <c r="I20" s="173"/>
      <c r="J20" s="173"/>
      <c r="K20" s="452"/>
      <c r="L20" s="453"/>
      <c r="M20" s="428"/>
      <c r="N20" s="428"/>
    </row>
    <row r="21" spans="1:14">
      <c r="A21" s="431">
        <f>+A19+1</f>
        <v>4</v>
      </c>
      <c r="B21" s="431"/>
      <c r="C21" s="42" t="s">
        <v>766</v>
      </c>
      <c r="D21" s="432" t="s">
        <v>212</v>
      </c>
      <c r="E21" s="501"/>
      <c r="F21" s="436"/>
      <c r="G21" s="501"/>
      <c r="H21" s="435"/>
      <c r="I21" s="434">
        <f>IF(G21="",0,(E21+G21)/2)</f>
        <v>0</v>
      </c>
      <c r="J21" s="156"/>
      <c r="K21" s="452"/>
      <c r="L21" s="453"/>
      <c r="M21" s="428"/>
      <c r="N21" s="428"/>
    </row>
    <row r="22" spans="1:14">
      <c r="A22" s="431"/>
      <c r="B22" s="431"/>
      <c r="C22" s="433"/>
      <c r="D22" s="454"/>
      <c r="E22" s="436"/>
      <c r="F22" s="436"/>
      <c r="G22" s="427"/>
      <c r="H22" s="435"/>
      <c r="I22" s="427"/>
      <c r="J22" s="156"/>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511" t="s">
        <v>767</v>
      </c>
      <c r="C24" s="1511"/>
      <c r="D24" s="1511"/>
      <c r="E24" s="1511"/>
      <c r="F24" s="1511"/>
      <c r="G24" s="1511"/>
      <c r="H24" s="1511"/>
      <c r="I24" s="1511"/>
      <c r="J24" s="1511"/>
      <c r="K24" s="1511"/>
      <c r="L24" s="453"/>
      <c r="M24" s="428"/>
      <c r="N24" s="428"/>
    </row>
    <row r="25" spans="1:14" ht="12.75" customHeight="1">
      <c r="A25" s="431"/>
      <c r="B25" s="467"/>
      <c r="C25" s="433"/>
      <c r="D25" s="468"/>
      <c r="E25" s="469"/>
      <c r="F25" s="422"/>
      <c r="G25" s="469" t="s">
        <v>378</v>
      </c>
      <c r="I25" s="470" t="s">
        <v>407</v>
      </c>
      <c r="J25" s="470" t="s">
        <v>407</v>
      </c>
      <c r="K25" s="470" t="s">
        <v>469</v>
      </c>
      <c r="L25" s="453"/>
      <c r="M25" s="428"/>
      <c r="N25" s="428"/>
    </row>
    <row r="26" spans="1:14" ht="12.75" customHeight="1">
      <c r="A26" s="431"/>
      <c r="B26" s="467"/>
      <c r="C26" s="433"/>
      <c r="D26" s="471" t="s">
        <v>289</v>
      </c>
      <c r="E26" s="470" t="s">
        <v>319</v>
      </c>
      <c r="F26" s="422"/>
      <c r="G26" s="470" t="s">
        <v>407</v>
      </c>
      <c r="I26" s="470" t="s">
        <v>309</v>
      </c>
      <c r="J26" s="470" t="s">
        <v>451</v>
      </c>
      <c r="K26" s="470" t="s">
        <v>470</v>
      </c>
      <c r="L26" s="453"/>
      <c r="M26" s="428"/>
      <c r="N26" s="428"/>
    </row>
    <row r="27" spans="1:14" ht="12.75" customHeight="1">
      <c r="A27" s="431">
        <f>+A21+1</f>
        <v>5</v>
      </c>
      <c r="B27" s="467"/>
      <c r="C27" s="433"/>
      <c r="D27" s="472" t="s">
        <v>379</v>
      </c>
      <c r="E27" s="472" t="s">
        <v>290</v>
      </c>
      <c r="F27" s="422"/>
      <c r="G27" s="472" t="s">
        <v>310</v>
      </c>
      <c r="I27" s="472" t="s">
        <v>310</v>
      </c>
      <c r="J27" s="472" t="s">
        <v>310</v>
      </c>
      <c r="K27" s="472" t="s">
        <v>311</v>
      </c>
      <c r="L27" s="453"/>
      <c r="M27" s="428"/>
      <c r="N27" s="428"/>
    </row>
    <row r="28" spans="1:14">
      <c r="A28" s="431"/>
      <c r="B28" s="431"/>
      <c r="C28" s="433"/>
      <c r="D28" s="454"/>
      <c r="E28" s="436"/>
      <c r="F28" s="436"/>
      <c r="G28" s="427"/>
      <c r="H28" s="435"/>
      <c r="I28" s="427"/>
      <c r="J28" s="156"/>
      <c r="K28" s="473"/>
      <c r="L28" s="453"/>
      <c r="M28" s="428"/>
      <c r="N28" s="428"/>
    </row>
    <row r="29" spans="1:14">
      <c r="A29" s="431">
        <f>+A27+1</f>
        <v>6</v>
      </c>
      <c r="B29" s="431"/>
      <c r="C29" s="422" t="str">
        <f>"Totals as of December 31, "&amp;TCOS!L4&amp;""</f>
        <v>Totals as of December 31, 2025</v>
      </c>
      <c r="D29" s="474">
        <f>ROUND(D55,0)</f>
        <v>26812</v>
      </c>
      <c r="E29" s="475">
        <f>ROUND(E55,0)</f>
        <v>0</v>
      </c>
      <c r="F29" s="476"/>
      <c r="G29" s="474">
        <f>ROUND(G55,0)</f>
        <v>0</v>
      </c>
      <c r="H29" s="435"/>
      <c r="I29" s="474">
        <f>ROUND(I55,0)</f>
        <v>26812</v>
      </c>
      <c r="J29" s="477">
        <f>+J55</f>
        <v>0</v>
      </c>
      <c r="K29" s="474">
        <f>ROUND(K55,0)</f>
        <v>26812</v>
      </c>
      <c r="L29" s="453"/>
      <c r="M29" s="428"/>
      <c r="N29" s="428"/>
    </row>
    <row r="30" spans="1:14">
      <c r="A30" s="431">
        <f>+A29+1</f>
        <v>7</v>
      </c>
      <c r="B30" s="431"/>
      <c r="C30" s="422" t="str">
        <f>"Totals as of December 31, "&amp;(TCOS!L4-1)&amp;""</f>
        <v>Totals as of December 31, 2024</v>
      </c>
      <c r="D30" s="478">
        <f>ROUND(D79,0)</f>
        <v>26812</v>
      </c>
      <c r="E30" s="479">
        <f>ROUND(E79,0)</f>
        <v>0</v>
      </c>
      <c r="F30" s="436"/>
      <c r="G30" s="478">
        <f>ROUND(G79,0)</f>
        <v>0</v>
      </c>
      <c r="H30" s="435"/>
      <c r="I30" s="478">
        <f>ROUND(I79,0)</f>
        <v>26812</v>
      </c>
      <c r="J30" s="478">
        <f>+J79</f>
        <v>0</v>
      </c>
      <c r="K30" s="478">
        <f>ROUND(K79,0)</f>
        <v>26812</v>
      </c>
      <c r="L30" s="453"/>
      <c r="M30" s="428"/>
      <c r="N30" s="428"/>
    </row>
    <row r="31" spans="1:14" ht="13.5" thickBot="1">
      <c r="A31" s="431">
        <f>+A30+1</f>
        <v>8</v>
      </c>
      <c r="B31" s="431"/>
      <c r="C31" s="480" t="s">
        <v>495</v>
      </c>
      <c r="D31" s="481">
        <f>IF(D30="",0,(D29+D30)/2)</f>
        <v>26812</v>
      </c>
      <c r="E31" s="481">
        <f>IF(E30="",0,(E29+E30)/2)</f>
        <v>0</v>
      </c>
      <c r="F31" s="482"/>
      <c r="G31" s="481">
        <f>IF(G30="",0,(G29+G30)/2)</f>
        <v>0</v>
      </c>
      <c r="H31" s="483"/>
      <c r="I31" s="481">
        <f>IF(I30="",0,(I29+I30)/2)</f>
        <v>26812</v>
      </c>
      <c r="J31" s="481">
        <f>IF(J30="",0,(J29+J30)/2)</f>
        <v>0</v>
      </c>
      <c r="K31" s="481">
        <f>IF(K30="",0,(K29+K30)/2)</f>
        <v>26812</v>
      </c>
      <c r="L31" s="453"/>
      <c r="M31" s="428"/>
      <c r="N31" s="428"/>
    </row>
    <row r="32" spans="1:14" ht="13.5" thickTop="1">
      <c r="A32" s="431"/>
      <c r="B32" s="431"/>
      <c r="D32" s="454"/>
      <c r="E32" s="436"/>
      <c r="F32" s="436"/>
      <c r="G32" s="427"/>
      <c r="H32" s="435"/>
      <c r="I32" s="427"/>
      <c r="J32" s="156"/>
      <c r="K32" s="452"/>
      <c r="L32" s="453"/>
      <c r="M32" s="428"/>
      <c r="N32" s="428"/>
    </row>
    <row r="33" spans="1:14">
      <c r="A33" s="422"/>
      <c r="E33" s="422"/>
      <c r="F33" s="422"/>
      <c r="J33" s="156"/>
      <c r="K33" s="452"/>
      <c r="L33" s="453"/>
      <c r="M33" s="428"/>
      <c r="N33" s="428"/>
    </row>
    <row r="34" spans="1:14" ht="18">
      <c r="A34" s="431"/>
      <c r="B34" s="1514" t="str">
        <f>"Prepayments Account 165 - Balance @ 12/31/"&amp;D36&amp;""</f>
        <v>Prepayments Account 165 - Balance @ 12/31/2025</v>
      </c>
      <c r="C34" s="1519"/>
      <c r="D34" s="1519"/>
      <c r="E34" s="1519"/>
      <c r="F34" s="1519"/>
      <c r="G34" s="1519"/>
      <c r="H34" s="1519"/>
      <c r="I34" s="1519"/>
      <c r="J34" s="1519"/>
      <c r="K34" s="452"/>
      <c r="L34" s="453"/>
      <c r="M34" s="428"/>
      <c r="N34" s="428"/>
    </row>
    <row r="35" spans="1:14">
      <c r="A35" s="431"/>
      <c r="B35" s="484"/>
      <c r="C35" s="485"/>
      <c r="D35" s="468"/>
      <c r="E35" s="469"/>
      <c r="F35" s="422"/>
      <c r="G35" s="469" t="s">
        <v>378</v>
      </c>
      <c r="I35" s="470" t="s">
        <v>407</v>
      </c>
      <c r="J35" s="470" t="s">
        <v>407</v>
      </c>
      <c r="K35" s="470" t="s">
        <v>469</v>
      </c>
      <c r="L35" s="173"/>
      <c r="M35" s="428"/>
      <c r="N35" s="428"/>
    </row>
    <row r="36" spans="1:14">
      <c r="A36" s="431"/>
      <c r="B36" s="484"/>
      <c r="C36" s="486"/>
      <c r="D36" s="471" t="str">
        <f>""&amp;TCOS!L4</f>
        <v>2025</v>
      </c>
      <c r="E36" s="470" t="s">
        <v>319</v>
      </c>
      <c r="F36" s="422"/>
      <c r="G36" s="470" t="s">
        <v>407</v>
      </c>
      <c r="I36" s="470" t="s">
        <v>309</v>
      </c>
      <c r="J36" s="470" t="s">
        <v>451</v>
      </c>
      <c r="K36" s="470" t="s">
        <v>470</v>
      </c>
      <c r="L36" s="173"/>
      <c r="M36" s="428"/>
      <c r="N36" s="428"/>
    </row>
    <row r="37" spans="1:14">
      <c r="A37" s="431">
        <f>+A31+1</f>
        <v>9</v>
      </c>
      <c r="B37" s="472" t="s">
        <v>381</v>
      </c>
      <c r="C37" s="472" t="s">
        <v>457</v>
      </c>
      <c r="D37" s="472" t="s">
        <v>379</v>
      </c>
      <c r="E37" s="472" t="s">
        <v>290</v>
      </c>
      <c r="F37" s="422"/>
      <c r="G37" s="472" t="s">
        <v>310</v>
      </c>
      <c r="I37" s="472" t="s">
        <v>310</v>
      </c>
      <c r="J37" s="472" t="s">
        <v>310</v>
      </c>
      <c r="K37" s="472" t="s">
        <v>311</v>
      </c>
      <c r="L37" s="472" t="s">
        <v>363</v>
      </c>
      <c r="M37" s="428"/>
      <c r="N37" s="428"/>
    </row>
    <row r="38" spans="1:14">
      <c r="A38" s="431"/>
      <c r="B38" s="484"/>
      <c r="C38" s="485"/>
      <c r="D38" s="485"/>
      <c r="E38" s="485"/>
      <c r="F38" s="422"/>
      <c r="G38" s="485"/>
      <c r="I38" s="485"/>
      <c r="J38" s="485"/>
      <c r="K38" s="473"/>
      <c r="L38" s="173"/>
      <c r="M38" s="428"/>
      <c r="N38" s="428"/>
    </row>
    <row r="39" spans="1:14" ht="14.25">
      <c r="A39" s="431">
        <f>+A37+1</f>
        <v>10</v>
      </c>
      <c r="B39" s="1320" t="s">
        <v>913</v>
      </c>
      <c r="C39" s="1321" t="s">
        <v>914</v>
      </c>
      <c r="D39" s="1322">
        <v>0</v>
      </c>
      <c r="E39" s="487">
        <f t="shared" ref="E39:E53" si="0">+D39-K39</f>
        <v>0</v>
      </c>
      <c r="F39" s="422"/>
      <c r="G39" s="488"/>
      <c r="I39" s="488">
        <f>+D39</f>
        <v>0</v>
      </c>
      <c r="J39" s="488"/>
      <c r="K39" s="488">
        <f>+G39+I39+J39</f>
        <v>0</v>
      </c>
      <c r="L39" s="173"/>
      <c r="M39" s="428"/>
      <c r="N39" s="428"/>
    </row>
    <row r="40" spans="1:14" ht="14.25">
      <c r="A40" s="431">
        <f>+A39+1</f>
        <v>11</v>
      </c>
      <c r="B40" s="1323" t="s">
        <v>916</v>
      </c>
      <c r="C40" s="1321" t="s">
        <v>915</v>
      </c>
      <c r="D40" s="1322">
        <v>26812.43</v>
      </c>
      <c r="E40" s="487">
        <f t="shared" si="0"/>
        <v>0</v>
      </c>
      <c r="F40" s="422"/>
      <c r="G40" s="488"/>
      <c r="I40" s="488">
        <f>+D40</f>
        <v>26812.43</v>
      </c>
      <c r="J40" s="488"/>
      <c r="K40" s="488">
        <f t="shared" ref="K40:K54" si="1">+G40+I40+J40</f>
        <v>26812.43</v>
      </c>
      <c r="L40" s="173"/>
      <c r="M40" s="428"/>
      <c r="N40" s="428"/>
    </row>
    <row r="41" spans="1:14" ht="14.25">
      <c r="A41" s="431">
        <f t="shared" ref="A41:A54" si="2">+A40+1</f>
        <v>12</v>
      </c>
      <c r="B41" s="1324"/>
      <c r="C41" s="1325"/>
      <c r="D41" s="1322"/>
      <c r="E41" s="487">
        <f t="shared" si="0"/>
        <v>0</v>
      </c>
      <c r="F41" s="422"/>
      <c r="G41" s="488"/>
      <c r="I41" s="488">
        <f>+D41</f>
        <v>0</v>
      </c>
      <c r="J41" s="488"/>
      <c r="K41" s="488">
        <f t="shared" si="1"/>
        <v>0</v>
      </c>
      <c r="L41" s="173"/>
      <c r="M41" s="428"/>
      <c r="N41" s="428"/>
    </row>
    <row r="42" spans="1:14" ht="14.25">
      <c r="A42" s="431">
        <f t="shared" si="2"/>
        <v>13</v>
      </c>
      <c r="B42" s="1326"/>
      <c r="C42" s="1325"/>
      <c r="D42" s="1322"/>
      <c r="E42" s="487">
        <f t="shared" si="0"/>
        <v>0</v>
      </c>
      <c r="F42" s="422"/>
      <c r="G42" s="488"/>
      <c r="I42" s="488">
        <f t="shared" ref="I42:I49" si="3">+D42</f>
        <v>0</v>
      </c>
      <c r="J42" s="488"/>
      <c r="K42" s="488">
        <f t="shared" si="1"/>
        <v>0</v>
      </c>
      <c r="L42" s="173"/>
      <c r="M42" s="428"/>
      <c r="N42" s="428"/>
    </row>
    <row r="43" spans="1:14" ht="14.25">
      <c r="A43" s="431">
        <f t="shared" si="2"/>
        <v>14</v>
      </c>
      <c r="B43" s="1324"/>
      <c r="C43" s="1325"/>
      <c r="D43" s="1322"/>
      <c r="E43" s="487">
        <f t="shared" si="0"/>
        <v>0</v>
      </c>
      <c r="F43" s="422"/>
      <c r="G43" s="488"/>
      <c r="I43" s="488">
        <f t="shared" si="3"/>
        <v>0</v>
      </c>
      <c r="J43" s="488"/>
      <c r="K43" s="488">
        <f t="shared" si="1"/>
        <v>0</v>
      </c>
      <c r="L43" s="392"/>
      <c r="M43" s="428"/>
      <c r="N43" s="428"/>
    </row>
    <row r="44" spans="1:14" ht="14.25">
      <c r="A44" s="431">
        <f t="shared" si="2"/>
        <v>15</v>
      </c>
      <c r="B44" s="1324"/>
      <c r="C44" s="1325"/>
      <c r="D44" s="1322"/>
      <c r="E44" s="487">
        <f t="shared" si="0"/>
        <v>0</v>
      </c>
      <c r="F44" s="422"/>
      <c r="G44" s="488"/>
      <c r="I44" s="488">
        <f t="shared" si="3"/>
        <v>0</v>
      </c>
      <c r="J44" s="488"/>
      <c r="K44" s="488">
        <f t="shared" si="1"/>
        <v>0</v>
      </c>
      <c r="L44" s="392"/>
      <c r="M44" s="428"/>
      <c r="N44" s="428"/>
    </row>
    <row r="45" spans="1:14" ht="14.25">
      <c r="A45" s="431">
        <f t="shared" si="2"/>
        <v>16</v>
      </c>
      <c r="B45" s="970"/>
      <c r="C45" s="972"/>
      <c r="D45" s="997"/>
      <c r="E45" s="487">
        <f t="shared" si="0"/>
        <v>0</v>
      </c>
      <c r="F45" s="422"/>
      <c r="G45" s="489"/>
      <c r="I45" s="488">
        <f t="shared" si="3"/>
        <v>0</v>
      </c>
      <c r="J45" s="489"/>
      <c r="K45" s="489">
        <f t="shared" si="1"/>
        <v>0</v>
      </c>
      <c r="L45" s="392"/>
      <c r="M45" s="428"/>
      <c r="N45" s="428"/>
    </row>
    <row r="46" spans="1:14" ht="14.25">
      <c r="A46" s="431">
        <f t="shared" si="2"/>
        <v>17</v>
      </c>
      <c r="B46" s="970"/>
      <c r="C46" s="972"/>
      <c r="D46" s="997"/>
      <c r="E46" s="487">
        <f t="shared" si="0"/>
        <v>0</v>
      </c>
      <c r="F46" s="422"/>
      <c r="G46" s="488"/>
      <c r="I46" s="488">
        <f t="shared" si="3"/>
        <v>0</v>
      </c>
      <c r="J46" s="488"/>
      <c r="K46" s="489">
        <f t="shared" si="1"/>
        <v>0</v>
      </c>
      <c r="L46" s="348"/>
      <c r="M46" s="428"/>
      <c r="N46" s="428"/>
    </row>
    <row r="47" spans="1:14" ht="14.25">
      <c r="A47" s="431">
        <f t="shared" si="2"/>
        <v>18</v>
      </c>
      <c r="B47" s="970"/>
      <c r="C47" s="972"/>
      <c r="D47" s="997"/>
      <c r="E47" s="487">
        <f t="shared" si="0"/>
        <v>0</v>
      </c>
      <c r="F47" s="422"/>
      <c r="G47" s="488"/>
      <c r="I47" s="488">
        <f t="shared" si="3"/>
        <v>0</v>
      </c>
      <c r="J47" s="488"/>
      <c r="K47" s="489">
        <f t="shared" si="1"/>
        <v>0</v>
      </c>
      <c r="L47" s="392"/>
      <c r="M47" s="428"/>
      <c r="N47" s="428"/>
    </row>
    <row r="48" spans="1:14" ht="14.25">
      <c r="A48" s="431">
        <f t="shared" si="2"/>
        <v>19</v>
      </c>
      <c r="B48" s="970"/>
      <c r="C48" s="972"/>
      <c r="D48" s="997"/>
      <c r="E48" s="487">
        <f t="shared" si="0"/>
        <v>0</v>
      </c>
      <c r="F48" s="422"/>
      <c r="G48" s="488"/>
      <c r="I48" s="488">
        <f t="shared" si="3"/>
        <v>0</v>
      </c>
      <c r="J48" s="488"/>
      <c r="K48" s="489">
        <f t="shared" si="1"/>
        <v>0</v>
      </c>
      <c r="L48" s="392"/>
      <c r="M48" s="428"/>
      <c r="N48" s="428"/>
    </row>
    <row r="49" spans="1:15" ht="14.25">
      <c r="A49" s="431">
        <f t="shared" si="2"/>
        <v>20</v>
      </c>
      <c r="B49" s="971"/>
      <c r="C49" s="972"/>
      <c r="D49" s="997"/>
      <c r="E49" s="487">
        <f t="shared" si="0"/>
        <v>0</v>
      </c>
      <c r="F49" s="422"/>
      <c r="G49" s="488"/>
      <c r="I49" s="488">
        <f t="shared" si="3"/>
        <v>0</v>
      </c>
      <c r="J49" s="490"/>
      <c r="K49" s="489">
        <f>+G49+I49+J49</f>
        <v>0</v>
      </c>
      <c r="L49" s="173"/>
      <c r="M49" s="428"/>
      <c r="N49" s="428"/>
    </row>
    <row r="50" spans="1:15" ht="14.25">
      <c r="A50" s="431">
        <f t="shared" si="2"/>
        <v>21</v>
      </c>
      <c r="B50" s="971"/>
      <c r="C50" s="972"/>
      <c r="D50" s="997"/>
      <c r="E50" s="487">
        <f t="shared" si="0"/>
        <v>0</v>
      </c>
      <c r="F50" s="422"/>
      <c r="G50" s="488"/>
      <c r="I50" s="488">
        <f>D50</f>
        <v>0</v>
      </c>
      <c r="J50" s="490">
        <v>0</v>
      </c>
      <c r="K50" s="489">
        <f>+G50+I50+J50</f>
        <v>0</v>
      </c>
      <c r="L50" s="173"/>
      <c r="M50" s="428"/>
      <c r="N50" s="428"/>
    </row>
    <row r="51" spans="1:15" ht="14.25">
      <c r="A51" s="431">
        <f t="shared" si="2"/>
        <v>22</v>
      </c>
      <c r="B51" s="971"/>
      <c r="C51" s="972"/>
      <c r="D51" s="997"/>
      <c r="E51" s="487">
        <f t="shared" si="0"/>
        <v>0</v>
      </c>
      <c r="F51" s="422"/>
      <c r="G51" s="488"/>
      <c r="I51" s="488"/>
      <c r="J51" s="490">
        <f>D51</f>
        <v>0</v>
      </c>
      <c r="K51" s="489">
        <f>+G51+I51+J51</f>
        <v>0</v>
      </c>
      <c r="L51" s="392"/>
      <c r="M51" s="428"/>
      <c r="N51" s="428"/>
    </row>
    <row r="52" spans="1:15" ht="14.25">
      <c r="A52" s="431">
        <f t="shared" si="2"/>
        <v>23</v>
      </c>
      <c r="B52" s="971"/>
      <c r="C52" s="972"/>
      <c r="D52" s="997"/>
      <c r="E52" s="487">
        <f t="shared" si="0"/>
        <v>0</v>
      </c>
      <c r="F52" s="422"/>
      <c r="G52" s="488"/>
      <c r="I52" s="488"/>
      <c r="J52" s="490">
        <f>D52</f>
        <v>0</v>
      </c>
      <c r="K52" s="489">
        <f>+G52+I52+J52</f>
        <v>0</v>
      </c>
      <c r="L52" s="392"/>
      <c r="M52" s="428"/>
      <c r="N52" s="428"/>
    </row>
    <row r="53" spans="1:15" ht="14.25">
      <c r="A53" s="431">
        <f t="shared" si="2"/>
        <v>24</v>
      </c>
      <c r="B53" s="971"/>
      <c r="C53" s="972"/>
      <c r="D53" s="997"/>
      <c r="E53" s="487">
        <f t="shared" si="0"/>
        <v>0</v>
      </c>
      <c r="F53" s="422"/>
      <c r="G53" s="488"/>
      <c r="I53" s="488"/>
      <c r="J53" s="490">
        <f>D53</f>
        <v>0</v>
      </c>
      <c r="K53" s="489">
        <f t="shared" si="1"/>
        <v>0</v>
      </c>
      <c r="L53" s="392"/>
      <c r="M53" s="428"/>
      <c r="N53" s="428"/>
    </row>
    <row r="54" spans="1:15" ht="15" thickBot="1">
      <c r="A54" s="431">
        <f t="shared" si="2"/>
        <v>25</v>
      </c>
      <c r="B54" s="971"/>
      <c r="C54" s="972"/>
      <c r="D54" s="997"/>
      <c r="E54" s="487"/>
      <c r="F54" s="422"/>
      <c r="G54" s="488"/>
      <c r="I54" s="488"/>
      <c r="J54" s="488">
        <f>D54</f>
        <v>0</v>
      </c>
      <c r="K54" s="489">
        <f t="shared" si="1"/>
        <v>0</v>
      </c>
      <c r="L54" s="392"/>
      <c r="M54" s="428"/>
      <c r="N54" s="428"/>
    </row>
    <row r="55" spans="1:15">
      <c r="A55" s="431"/>
      <c r="B55" s="484"/>
      <c r="C55" s="491" t="s">
        <v>291</v>
      </c>
      <c r="D55" s="492">
        <f>SUM(D39:D54)</f>
        <v>26812.43</v>
      </c>
      <c r="E55" s="493">
        <f>SUM(E39:E54)</f>
        <v>0</v>
      </c>
      <c r="F55" s="422"/>
      <c r="G55" s="492">
        <f>SUM(G39:G54)</f>
        <v>0</v>
      </c>
      <c r="I55" s="492">
        <f>SUM(I39:I54)</f>
        <v>26812.43</v>
      </c>
      <c r="J55" s="492">
        <f>SUM(J39:J54)</f>
        <v>0</v>
      </c>
      <c r="K55" s="492">
        <f>SUM(K39:K54)</f>
        <v>26812.43</v>
      </c>
      <c r="L55" s="173"/>
      <c r="M55" s="428"/>
      <c r="N55" s="428"/>
    </row>
    <row r="56" spans="1:15">
      <c r="A56" s="431"/>
      <c r="D56" s="494" t="s">
        <v>406</v>
      </c>
      <c r="K56" s="495"/>
      <c r="L56" s="173"/>
      <c r="M56" s="428"/>
      <c r="N56" s="428"/>
    </row>
    <row r="57" spans="1:15">
      <c r="A57" s="431"/>
      <c r="B57" s="173"/>
      <c r="C57" s="173"/>
      <c r="D57" s="173"/>
      <c r="E57" s="173"/>
      <c r="F57" s="173"/>
      <c r="G57" s="173"/>
      <c r="H57" s="173"/>
      <c r="I57" s="173"/>
      <c r="J57" s="173"/>
      <c r="K57" s="173"/>
      <c r="L57" s="173"/>
      <c r="M57" s="428"/>
      <c r="N57" s="428"/>
      <c r="O57" s="173"/>
    </row>
    <row r="58" spans="1:15" ht="18">
      <c r="A58" s="431"/>
      <c r="B58" s="1514" t="str">
        <f>"Prepayments Account 165 - Balance @ 12/31/ "&amp;D60&amp;""</f>
        <v>Prepayments Account 165 - Balance @ 12/31/ 2024</v>
      </c>
      <c r="C58" s="1514"/>
      <c r="D58" s="1514"/>
      <c r="E58" s="1514"/>
      <c r="F58" s="1514"/>
      <c r="G58" s="1514"/>
      <c r="H58" s="1514"/>
      <c r="I58" s="1514"/>
      <c r="J58" s="1514"/>
      <c r="K58" s="452"/>
      <c r="L58" s="453"/>
      <c r="M58" s="428"/>
      <c r="N58" s="428"/>
      <c r="O58" s="173"/>
    </row>
    <row r="59" spans="1:15">
      <c r="A59" s="431"/>
      <c r="B59" s="496"/>
      <c r="C59" s="497"/>
      <c r="D59" s="498"/>
      <c r="E59" s="469"/>
      <c r="F59" s="422"/>
      <c r="G59" s="469" t="s">
        <v>378</v>
      </c>
      <c r="I59" s="470" t="s">
        <v>407</v>
      </c>
      <c r="J59" s="470" t="s">
        <v>407</v>
      </c>
      <c r="K59" s="470" t="s">
        <v>469</v>
      </c>
      <c r="L59" s="173"/>
      <c r="M59" s="428"/>
      <c r="N59" s="428"/>
      <c r="O59" s="173"/>
    </row>
    <row r="60" spans="1:15">
      <c r="A60" s="431"/>
      <c r="B60" s="496"/>
      <c r="C60" s="499"/>
      <c r="D60" s="470" t="str">
        <f>""&amp;TCOS!L4-1&amp;""</f>
        <v>2024</v>
      </c>
      <c r="E60" s="470" t="s">
        <v>319</v>
      </c>
      <c r="F60" s="422"/>
      <c r="G60" s="470" t="s">
        <v>407</v>
      </c>
      <c r="I60" s="470" t="s">
        <v>309</v>
      </c>
      <c r="J60" s="470" t="s">
        <v>451</v>
      </c>
      <c r="K60" s="470" t="s">
        <v>470</v>
      </c>
      <c r="L60" s="173"/>
      <c r="M60" s="428"/>
      <c r="N60" s="428"/>
      <c r="O60" s="173"/>
    </row>
    <row r="61" spans="1:15">
      <c r="A61" s="431">
        <f>A54+1</f>
        <v>26</v>
      </c>
      <c r="B61" s="472" t="s">
        <v>381</v>
      </c>
      <c r="C61" s="472" t="s">
        <v>457</v>
      </c>
      <c r="D61" s="472" t="s">
        <v>379</v>
      </c>
      <c r="E61" s="472" t="s">
        <v>290</v>
      </c>
      <c r="F61" s="422"/>
      <c r="G61" s="472" t="s">
        <v>310</v>
      </c>
      <c r="I61" s="472" t="s">
        <v>310</v>
      </c>
      <c r="J61" s="472" t="s">
        <v>310</v>
      </c>
      <c r="K61" s="472" t="s">
        <v>311</v>
      </c>
      <c r="L61" s="472" t="s">
        <v>363</v>
      </c>
      <c r="M61" s="428"/>
      <c r="N61" s="428"/>
      <c r="O61" s="173"/>
    </row>
    <row r="62" spans="1:15">
      <c r="A62" s="431"/>
      <c r="B62" s="484"/>
      <c r="C62" s="485"/>
      <c r="D62" s="485"/>
      <c r="E62" s="485"/>
      <c r="F62" s="422"/>
      <c r="G62" s="485"/>
      <c r="I62" s="485"/>
      <c r="J62" s="485"/>
      <c r="K62" s="485"/>
      <c r="L62" s="173"/>
      <c r="M62" s="428"/>
      <c r="N62" s="428"/>
      <c r="O62" s="173"/>
    </row>
    <row r="63" spans="1:15" ht="14.25">
      <c r="A63" s="431">
        <f>+A61+1</f>
        <v>27</v>
      </c>
      <c r="B63" s="1320" t="s">
        <v>913</v>
      </c>
      <c r="C63" s="1321" t="s">
        <v>914</v>
      </c>
      <c r="D63" s="1322">
        <v>0</v>
      </c>
      <c r="E63" s="173"/>
      <c r="F63" s="173"/>
      <c r="G63" s="173"/>
      <c r="H63" s="173"/>
      <c r="I63" s="500">
        <f>+D63</f>
        <v>0</v>
      </c>
      <c r="J63" s="173"/>
      <c r="K63" s="488">
        <f t="shared" ref="K63:K78" si="4">+G63+I63+J63</f>
        <v>0</v>
      </c>
      <c r="L63" s="173"/>
      <c r="M63" s="428"/>
      <c r="N63" s="428"/>
      <c r="O63" s="173"/>
    </row>
    <row r="64" spans="1:15" ht="14.25">
      <c r="A64" s="431">
        <f>+A63+1</f>
        <v>28</v>
      </c>
      <c r="B64" s="1323" t="s">
        <v>916</v>
      </c>
      <c r="C64" s="1321" t="s">
        <v>915</v>
      </c>
      <c r="D64" s="1322">
        <v>26812.43</v>
      </c>
      <c r="E64" s="487">
        <f>+D64-K64</f>
        <v>0</v>
      </c>
      <c r="F64" s="422"/>
      <c r="G64" s="488"/>
      <c r="I64" s="488">
        <f>+D64</f>
        <v>26812.43</v>
      </c>
      <c r="J64" s="488"/>
      <c r="K64" s="488">
        <f t="shared" si="4"/>
        <v>26812.43</v>
      </c>
      <c r="L64" s="173"/>
      <c r="M64" s="428"/>
      <c r="N64" s="428"/>
      <c r="O64" s="173"/>
    </row>
    <row r="65" spans="1:15" ht="14.25">
      <c r="A65" s="431">
        <f t="shared" ref="A65:A78" si="5">+A64+1</f>
        <v>29</v>
      </c>
      <c r="B65" s="1324"/>
      <c r="C65" s="1325"/>
      <c r="D65" s="1322"/>
      <c r="E65" s="487">
        <f>+D65-K65</f>
        <v>0</v>
      </c>
      <c r="F65" s="422"/>
      <c r="G65" s="488"/>
      <c r="I65" s="488">
        <f>+D65</f>
        <v>0</v>
      </c>
      <c r="J65" s="488"/>
      <c r="K65" s="488">
        <f t="shared" si="4"/>
        <v>0</v>
      </c>
      <c r="L65" s="173"/>
      <c r="M65" s="428"/>
      <c r="N65" s="428"/>
      <c r="O65" s="173"/>
    </row>
    <row r="66" spans="1:15" ht="14.25">
      <c r="A66" s="431">
        <f t="shared" si="5"/>
        <v>30</v>
      </c>
      <c r="B66" s="1326"/>
      <c r="C66" s="1325"/>
      <c r="D66" s="1322"/>
      <c r="E66" s="487">
        <f>+D66-K66</f>
        <v>0</v>
      </c>
      <c r="F66" s="422"/>
      <c r="G66" s="488"/>
      <c r="I66" s="488"/>
      <c r="J66" s="488"/>
      <c r="K66" s="488">
        <f t="shared" si="4"/>
        <v>0</v>
      </c>
      <c r="L66" s="173"/>
      <c r="M66" s="428"/>
      <c r="N66" s="428"/>
      <c r="O66" s="173"/>
    </row>
    <row r="67" spans="1:15" ht="14.25">
      <c r="A67" s="431">
        <f t="shared" si="5"/>
        <v>31</v>
      </c>
      <c r="B67" s="1324"/>
      <c r="C67" s="1325"/>
      <c r="D67" s="1322"/>
      <c r="E67" s="487">
        <f>+D67-K67</f>
        <v>0</v>
      </c>
      <c r="F67" s="422"/>
      <c r="G67" s="488"/>
      <c r="I67" s="488"/>
      <c r="J67" s="488"/>
      <c r="K67" s="488">
        <f t="shared" si="4"/>
        <v>0</v>
      </c>
      <c r="L67" s="392"/>
      <c r="M67" s="428"/>
      <c r="N67" s="428"/>
      <c r="O67" s="173"/>
    </row>
    <row r="68" spans="1:15" ht="14.25">
      <c r="A68" s="431">
        <f t="shared" si="5"/>
        <v>32</v>
      </c>
      <c r="B68" s="1324"/>
      <c r="C68" s="1325"/>
      <c r="D68" s="1322"/>
      <c r="E68" s="488">
        <f>+D68-K68</f>
        <v>0</v>
      </c>
      <c r="F68" s="422"/>
      <c r="G68" s="488"/>
      <c r="I68" s="488"/>
      <c r="J68" s="488"/>
      <c r="K68" s="488">
        <f t="shared" si="4"/>
        <v>0</v>
      </c>
      <c r="L68" s="392"/>
      <c r="M68" s="428"/>
      <c r="N68" s="428"/>
      <c r="O68" s="173"/>
    </row>
    <row r="69" spans="1:15" ht="14.25">
      <c r="A69" s="431">
        <f t="shared" si="5"/>
        <v>33</v>
      </c>
      <c r="B69" s="971"/>
      <c r="C69" s="972"/>
      <c r="D69" s="997"/>
      <c r="E69" s="489">
        <f>+D69</f>
        <v>0</v>
      </c>
      <c r="F69" s="422"/>
      <c r="G69" s="489"/>
      <c r="I69" s="489"/>
      <c r="J69" s="489"/>
      <c r="K69" s="489">
        <f t="shared" si="4"/>
        <v>0</v>
      </c>
      <c r="L69" s="392"/>
      <c r="M69" s="428"/>
      <c r="N69" s="428"/>
      <c r="O69" s="173"/>
    </row>
    <row r="70" spans="1:15" ht="14.25">
      <c r="A70" s="431">
        <f t="shared" si="5"/>
        <v>34</v>
      </c>
      <c r="B70" s="971"/>
      <c r="C70" s="972"/>
      <c r="D70" s="997"/>
      <c r="E70" s="488">
        <f>+D70-K70</f>
        <v>0</v>
      </c>
      <c r="F70" s="422"/>
      <c r="G70" s="488"/>
      <c r="I70" s="488"/>
      <c r="J70" s="488"/>
      <c r="K70" s="489">
        <f t="shared" si="4"/>
        <v>0</v>
      </c>
      <c r="L70" s="348"/>
      <c r="M70" s="428"/>
      <c r="N70" s="428"/>
      <c r="O70" s="173"/>
    </row>
    <row r="71" spans="1:15" ht="14.25">
      <c r="A71" s="431">
        <f t="shared" si="5"/>
        <v>35</v>
      </c>
      <c r="B71" s="971"/>
      <c r="C71" s="972"/>
      <c r="D71" s="997"/>
      <c r="E71" s="488"/>
      <c r="F71" s="422"/>
      <c r="G71" s="488"/>
      <c r="I71" s="488"/>
      <c r="J71" s="488"/>
      <c r="K71" s="489">
        <f t="shared" si="4"/>
        <v>0</v>
      </c>
      <c r="L71" s="392"/>
      <c r="M71" s="428"/>
      <c r="N71" s="428"/>
      <c r="O71" s="173"/>
    </row>
    <row r="72" spans="1:15" ht="14.25">
      <c r="A72" s="431">
        <f>+A69+1</f>
        <v>34</v>
      </c>
      <c r="B72" s="971"/>
      <c r="C72" s="972"/>
      <c r="D72" s="997"/>
      <c r="E72" s="488">
        <f>+D72</f>
        <v>0</v>
      </c>
      <c r="F72" s="422"/>
      <c r="G72" s="488"/>
      <c r="I72" s="488"/>
      <c r="J72" s="488"/>
      <c r="K72" s="489">
        <f>+G72+I72+J72</f>
        <v>0</v>
      </c>
      <c r="L72" s="392"/>
      <c r="M72" s="428"/>
      <c r="N72" s="428"/>
      <c r="O72" s="173"/>
    </row>
    <row r="73" spans="1:15" ht="14.25">
      <c r="A73" s="431">
        <f t="shared" si="5"/>
        <v>35</v>
      </c>
      <c r="B73" s="971"/>
      <c r="C73" s="972"/>
      <c r="D73" s="997"/>
      <c r="E73" s="488">
        <v>0</v>
      </c>
      <c r="F73" s="422"/>
      <c r="G73" s="488"/>
      <c r="I73" s="488">
        <f>D73</f>
        <v>0</v>
      </c>
      <c r="J73" s="490"/>
      <c r="K73" s="489">
        <f>+G73+I73+J73</f>
        <v>0</v>
      </c>
      <c r="L73" s="173"/>
      <c r="M73" s="428"/>
      <c r="N73" s="428"/>
      <c r="O73" s="173"/>
    </row>
    <row r="74" spans="1:15" ht="14.25">
      <c r="A74" s="431">
        <f t="shared" si="5"/>
        <v>36</v>
      </c>
      <c r="B74" s="971"/>
      <c r="C74" s="972"/>
      <c r="D74" s="997"/>
      <c r="E74" s="487">
        <v>0</v>
      </c>
      <c r="F74" s="422"/>
      <c r="G74" s="488"/>
      <c r="I74" s="488">
        <f>D74</f>
        <v>0</v>
      </c>
      <c r="J74" s="490">
        <v>0</v>
      </c>
      <c r="K74" s="489">
        <f>+G74+I74+J74</f>
        <v>0</v>
      </c>
      <c r="L74" s="173"/>
      <c r="M74" s="428"/>
      <c r="N74" s="428"/>
      <c r="O74" s="173"/>
    </row>
    <row r="75" spans="1:15" ht="14.25">
      <c r="A75" s="431">
        <f t="shared" si="5"/>
        <v>37</v>
      </c>
      <c r="B75" s="971"/>
      <c r="C75" s="972"/>
      <c r="D75" s="997"/>
      <c r="E75" s="487">
        <f>+D75-K75</f>
        <v>0</v>
      </c>
      <c r="F75" s="422"/>
      <c r="G75" s="488"/>
      <c r="I75" s="488"/>
      <c r="J75" s="490">
        <f>D75</f>
        <v>0</v>
      </c>
      <c r="K75" s="489">
        <f>+G75+I75+J75</f>
        <v>0</v>
      </c>
      <c r="L75" s="392"/>
      <c r="M75" s="428"/>
      <c r="N75" s="428"/>
      <c r="O75" s="173"/>
    </row>
    <row r="76" spans="1:15" ht="14.25">
      <c r="A76" s="431">
        <f t="shared" si="5"/>
        <v>38</v>
      </c>
      <c r="B76" s="971"/>
      <c r="C76" s="972"/>
      <c r="D76" s="997"/>
      <c r="E76" s="487">
        <f>+D76-K76</f>
        <v>0</v>
      </c>
      <c r="F76" s="422"/>
      <c r="G76" s="488"/>
      <c r="I76" s="488"/>
      <c r="J76" s="490">
        <f>D76</f>
        <v>0</v>
      </c>
      <c r="K76" s="489">
        <f t="shared" si="4"/>
        <v>0</v>
      </c>
      <c r="L76" s="392"/>
      <c r="M76" s="428"/>
      <c r="N76" s="428"/>
      <c r="O76" s="173"/>
    </row>
    <row r="77" spans="1:15" ht="14.25">
      <c r="A77" s="431">
        <f t="shared" si="5"/>
        <v>39</v>
      </c>
      <c r="B77" s="971"/>
      <c r="C77" s="972"/>
      <c r="D77" s="997"/>
      <c r="E77" s="487">
        <f>+D77-K77</f>
        <v>0</v>
      </c>
      <c r="F77" s="422"/>
      <c r="G77" s="488"/>
      <c r="I77" s="488"/>
      <c r="J77" s="490">
        <f>D77</f>
        <v>0</v>
      </c>
      <c r="K77" s="489">
        <f t="shared" si="4"/>
        <v>0</v>
      </c>
      <c r="L77" s="392"/>
      <c r="M77" s="428"/>
      <c r="N77" s="428"/>
      <c r="O77" s="173"/>
    </row>
    <row r="78" spans="1:15" ht="15" thickBot="1">
      <c r="A78" s="431">
        <f t="shared" si="5"/>
        <v>40</v>
      </c>
      <c r="B78" s="971"/>
      <c r="C78" s="972"/>
      <c r="D78" s="997"/>
      <c r="E78" s="487"/>
      <c r="F78" s="422"/>
      <c r="G78" s="488"/>
      <c r="I78" s="488"/>
      <c r="J78" s="488">
        <f>D78</f>
        <v>0</v>
      </c>
      <c r="K78" s="489">
        <f t="shared" si="4"/>
        <v>0</v>
      </c>
      <c r="L78" s="392"/>
      <c r="M78" s="428"/>
      <c r="N78" s="428"/>
      <c r="O78" s="173"/>
    </row>
    <row r="79" spans="1:15">
      <c r="A79" s="431"/>
      <c r="B79" s="484"/>
      <c r="C79" s="1246" t="s">
        <v>622</v>
      </c>
      <c r="D79" s="492">
        <f>SUM(D63:D78)</f>
        <v>26812.43</v>
      </c>
      <c r="E79" s="493">
        <f>SUM(E63:E78)</f>
        <v>0</v>
      </c>
      <c r="F79" s="422"/>
      <c r="G79" s="492">
        <f>SUM(G63:G78)</f>
        <v>0</v>
      </c>
      <c r="I79" s="492">
        <f>SUM(I63:I78)</f>
        <v>26812.43</v>
      </c>
      <c r="J79" s="492">
        <f>SUM(J63:J78)</f>
        <v>0</v>
      </c>
      <c r="K79" s="492">
        <f>SUM(K63:K78)</f>
        <v>26812.43</v>
      </c>
      <c r="L79" s="173"/>
      <c r="M79" s="428"/>
      <c r="N79" s="428"/>
      <c r="O79" s="173"/>
    </row>
    <row r="80" spans="1:15">
      <c r="A80" s="431"/>
      <c r="B80" s="431"/>
      <c r="C80" s="173"/>
      <c r="D80" s="173"/>
      <c r="E80" s="173"/>
      <c r="F80" s="173"/>
      <c r="G80" s="173"/>
      <c r="H80" s="173"/>
      <c r="I80" s="173"/>
      <c r="J80" s="173"/>
      <c r="K80" s="173"/>
      <c r="L80" s="173"/>
      <c r="M80" s="428"/>
      <c r="N80" s="428"/>
      <c r="O80" s="173"/>
    </row>
    <row r="81" spans="1:15" ht="20.25" customHeight="1">
      <c r="A81" s="1128" t="s">
        <v>691</v>
      </c>
      <c r="B81" s="1510" t="s">
        <v>776</v>
      </c>
      <c r="C81" s="1510"/>
      <c r="D81" s="1510"/>
      <c r="E81" s="1510"/>
      <c r="F81" s="1510"/>
      <c r="G81" s="1510"/>
      <c r="H81" s="1510"/>
      <c r="I81" s="1510"/>
      <c r="J81" s="1510"/>
      <c r="K81" s="1510"/>
      <c r="L81" s="1510"/>
      <c r="M81" s="428"/>
      <c r="N81" s="428"/>
      <c r="O81" s="173"/>
    </row>
    <row r="82" spans="1:15" ht="20.25" customHeight="1">
      <c r="A82" s="1247"/>
      <c r="B82" s="1510"/>
      <c r="C82" s="1510"/>
      <c r="D82" s="1510"/>
      <c r="E82" s="1510"/>
      <c r="F82" s="1510"/>
      <c r="G82" s="1510"/>
      <c r="H82" s="1510"/>
      <c r="I82" s="1510"/>
      <c r="J82" s="1510"/>
      <c r="K82" s="1510"/>
      <c r="L82" s="151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5" t="s">
        <v>406</v>
      </c>
    </row>
    <row r="2" spans="1:15" ht="15.75">
      <c r="A2" s="1005" t="s">
        <v>406</v>
      </c>
    </row>
    <row r="3" spans="1:15" ht="15">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421"/>
      <c r="G3" s="421"/>
      <c r="H3" s="421"/>
      <c r="I3" s="421"/>
      <c r="J3" s="421"/>
      <c r="K3" s="421"/>
      <c r="L3" s="421"/>
      <c r="M3" s="421"/>
      <c r="N3" s="421"/>
      <c r="O3" s="421"/>
    </row>
    <row r="4" spans="1:15" ht="15">
      <c r="A4" s="1512" t="str">
        <f>"Cost of Service Formula Rate Using Actual/Projected FF1 Balances"</f>
        <v>Cost of Service Formula Rate Using Actual/Projected FF1 Balances</v>
      </c>
      <c r="B4" s="1512"/>
      <c r="C4" s="1512"/>
      <c r="D4" s="1512"/>
      <c r="E4" s="1512"/>
      <c r="F4" s="423"/>
      <c r="G4" s="423"/>
      <c r="H4" s="423"/>
      <c r="I4" s="423"/>
      <c r="J4" s="423"/>
      <c r="K4" s="423"/>
      <c r="L4" s="423"/>
      <c r="M4" s="441"/>
      <c r="N4" s="441"/>
      <c r="O4" s="441"/>
    </row>
    <row r="5" spans="1:15" ht="15">
      <c r="A5" s="1512" t="s">
        <v>543</v>
      </c>
      <c r="B5" s="1512"/>
      <c r="C5" s="1512"/>
      <c r="D5" s="1512"/>
      <c r="E5" s="1512"/>
      <c r="F5" s="423"/>
      <c r="G5" s="423"/>
      <c r="H5" s="423"/>
      <c r="I5" s="423"/>
      <c r="J5" s="423"/>
      <c r="K5" s="423"/>
      <c r="L5" s="423"/>
      <c r="M5" s="423"/>
      <c r="N5" s="423"/>
      <c r="O5" s="423"/>
    </row>
    <row r="6" spans="1:15" ht="15">
      <c r="A6" s="1513" t="str">
        <f>TCOS!F9</f>
        <v>AEP Appalachian Transmission Company</v>
      </c>
      <c r="B6" s="1513"/>
      <c r="C6" s="1513"/>
      <c r="D6" s="1513"/>
      <c r="E6" s="1513"/>
      <c r="F6" s="169"/>
      <c r="G6" s="169"/>
      <c r="H6" s="169"/>
      <c r="I6" s="169"/>
      <c r="J6" s="169"/>
      <c r="K6" s="169"/>
      <c r="L6" s="169"/>
      <c r="M6" s="169"/>
      <c r="N6" s="169"/>
      <c r="O6" s="169"/>
    </row>
    <row r="8" spans="1:15">
      <c r="A8" s="502" t="s">
        <v>459</v>
      </c>
      <c r="B8" s="503" t="s">
        <v>452</v>
      </c>
      <c r="C8" s="503" t="s">
        <v>453</v>
      </c>
    </row>
    <row r="9" spans="1:15">
      <c r="A9" s="502" t="s">
        <v>397</v>
      </c>
      <c r="B9" s="502" t="s">
        <v>457</v>
      </c>
      <c r="C9" s="502">
        <f>+TCOS!L4</f>
        <v>2025</v>
      </c>
    </row>
    <row r="10" spans="1:15">
      <c r="A10" s="504"/>
      <c r="B10" s="505"/>
      <c r="C10" s="503"/>
    </row>
    <row r="11" spans="1:15">
      <c r="A11" s="273">
        <v>1</v>
      </c>
      <c r="B11" s="1248" t="str">
        <f>"Net Funds from IPP Customers 12/31/"&amp;TCOS!L4-1&amp;" ("&amp;TCOS!L4&amp;" FORM 1, P269)"</f>
        <v>Net Funds from IPP Customers 12/31/2024 (2025 FORM 1, P269)</v>
      </c>
      <c r="C11" s="518">
        <v>0</v>
      </c>
      <c r="D11" s="392"/>
    </row>
    <row r="12" spans="1:15">
      <c r="B12" s="348"/>
      <c r="D12" s="392"/>
    </row>
    <row r="13" spans="1:15">
      <c r="A13" s="506">
        <v>2</v>
      </c>
      <c r="B13" s="1248" t="s">
        <v>251</v>
      </c>
      <c r="C13" s="518">
        <v>0</v>
      </c>
      <c r="D13" s="392"/>
    </row>
    <row r="14" spans="1:15">
      <c r="A14" s="506"/>
      <c r="B14" s="1248"/>
      <c r="D14" s="392"/>
    </row>
    <row r="15" spans="1:15">
      <c r="A15" s="506">
        <f>+A13+1</f>
        <v>3</v>
      </c>
      <c r="B15" s="1248" t="s">
        <v>329</v>
      </c>
      <c r="C15" s="518">
        <v>0</v>
      </c>
      <c r="D15" s="392"/>
    </row>
    <row r="16" spans="1:15">
      <c r="A16" s="506"/>
      <c r="B16" s="1248"/>
      <c r="D16" s="392"/>
    </row>
    <row r="17" spans="1:4">
      <c r="A17" s="506">
        <f>+A15+1</f>
        <v>4</v>
      </c>
      <c r="B17" s="1249" t="s">
        <v>0</v>
      </c>
      <c r="D17" s="392"/>
    </row>
    <row r="18" spans="1:4">
      <c r="A18" s="507">
        <f>+A17+1</f>
        <v>5</v>
      </c>
      <c r="B18" s="1248" t="s">
        <v>330</v>
      </c>
      <c r="C18" s="518">
        <v>0</v>
      </c>
      <c r="D18" s="392"/>
    </row>
    <row r="19" spans="1:4">
      <c r="A19" s="507">
        <f>+A18+1</f>
        <v>6</v>
      </c>
      <c r="B19" s="1250" t="s">
        <v>406</v>
      </c>
      <c r="C19" s="518">
        <v>0</v>
      </c>
      <c r="D19" s="392"/>
    </row>
    <row r="20" spans="1:4">
      <c r="A20" s="507"/>
      <c r="B20" s="348"/>
      <c r="C20" s="510"/>
      <c r="D20" s="392"/>
    </row>
    <row r="21" spans="1:4">
      <c r="A21" s="507">
        <f>+A19+1</f>
        <v>7</v>
      </c>
      <c r="B21" s="1248" t="str">
        <f>"Net Funds from IPP Customers 12/31/"&amp;TCOS!L4&amp;" ("&amp;TCOS!L4&amp;" FORM 1, P269)"</f>
        <v>Net Funds from IPP Customers 12/31/2025 (2025 FORM 1, P269)</v>
      </c>
      <c r="C21" s="511">
        <f>+C11+C13+C15+C18+C19</f>
        <v>0</v>
      </c>
      <c r="D21" s="512"/>
    </row>
    <row r="22" spans="1:4">
      <c r="A22" s="507"/>
      <c r="B22" s="509"/>
      <c r="D22" s="392"/>
    </row>
    <row r="23" spans="1:4">
      <c r="A23" s="507">
        <f>+A21+1</f>
        <v>8</v>
      </c>
      <c r="B23" s="508" t="str">
        <f>"Average Balance for Year as Indicated in Column ((ln "&amp;A11&amp;" + ln "&amp;A21&amp;")/2)"</f>
        <v>Average Balance for Year as Indicated in Column ((ln 1 + ln 7)/2)</v>
      </c>
      <c r="C23" s="513">
        <f>AVERAGE(C21,C11)</f>
        <v>0</v>
      </c>
      <c r="D23" s="392"/>
    </row>
    <row r="24" spans="1:4">
      <c r="A24" s="507"/>
      <c r="B24" s="509"/>
      <c r="D24" s="392"/>
    </row>
    <row r="25" spans="1:4">
      <c r="A25" s="507"/>
      <c r="B25" s="509"/>
      <c r="C25" s="511"/>
      <c r="D25" s="392"/>
    </row>
    <row r="26" spans="1:4" ht="15">
      <c r="A26" s="514" t="s">
        <v>287</v>
      </c>
      <c r="B26" s="1520" t="str">
        <f>"On this worksheet Company Records refers to  "&amp;A6&amp;"'s general ledger."</f>
        <v>On this worksheet Company Records refers to  AEP Appalachian Transmission Company's general ledger.</v>
      </c>
      <c r="C26" s="410"/>
      <c r="D26" s="392"/>
    </row>
    <row r="27" spans="1:4">
      <c r="A27" s="515"/>
      <c r="B27" s="1521"/>
      <c r="D27" s="392"/>
    </row>
    <row r="28" spans="1:4">
      <c r="D28" s="392"/>
    </row>
    <row r="29" spans="1:4">
      <c r="D29" s="392"/>
    </row>
    <row r="30" spans="1:4">
      <c r="D30" s="392"/>
    </row>
    <row r="31" spans="1:4">
      <c r="D31" s="392"/>
    </row>
    <row r="32" spans="1:4">
      <c r="D32" s="516"/>
    </row>
    <row r="33" spans="1:4">
      <c r="D33" s="392"/>
    </row>
    <row r="34" spans="1:4">
      <c r="D34" s="392"/>
    </row>
    <row r="35" spans="1:4">
      <c r="D35" s="392"/>
    </row>
    <row r="36" spans="1:4">
      <c r="A36" s="504"/>
      <c r="B36" s="392"/>
      <c r="C36" s="392"/>
      <c r="D36" s="392"/>
    </row>
    <row r="37" spans="1:4">
      <c r="A37" s="504"/>
      <c r="B37" s="392"/>
      <c r="C37" s="392"/>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I19" sqref="I19"/>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5" t="s">
        <v>406</v>
      </c>
    </row>
    <row r="2" spans="1:22" ht="15.75">
      <c r="A2" s="1005" t="s">
        <v>406</v>
      </c>
    </row>
    <row r="3" spans="1:22">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c r="I3" s="1484" t="str">
        <f>TCOS!$F$5</f>
        <v>AEPTCo subsidiaries in PJM</v>
      </c>
      <c r="J3" s="1484" t="str">
        <f>TCOS!$F$5</f>
        <v>AEPTCo subsidiaries in PJM</v>
      </c>
      <c r="K3" s="1484" t="str">
        <f>TCOS!$F$5</f>
        <v>AEPTCo subsidiaries in PJM</v>
      </c>
      <c r="L3" s="421"/>
      <c r="M3" s="421"/>
      <c r="N3" s="421"/>
      <c r="O3" s="421"/>
    </row>
    <row r="4" spans="1:22">
      <c r="A4" s="1512" t="str">
        <f>"Cost of Service Formula Rate Using Actual/Projected FF1 Balances"</f>
        <v>Cost of Service Formula Rate Using Actual/Projected FF1 Balances</v>
      </c>
      <c r="B4" s="1512"/>
      <c r="C4" s="1512"/>
      <c r="D4" s="1512"/>
      <c r="E4" s="1512"/>
      <c r="F4" s="1512"/>
      <c r="G4" s="1512"/>
      <c r="H4" s="1512"/>
      <c r="I4" s="1512"/>
      <c r="J4" s="1512"/>
      <c r="K4" s="1512"/>
      <c r="L4" s="441"/>
      <c r="M4" s="441"/>
      <c r="N4" s="441"/>
      <c r="O4" s="441"/>
    </row>
    <row r="5" spans="1:22">
      <c r="A5" s="1512" t="s">
        <v>22</v>
      </c>
      <c r="B5" s="1512"/>
      <c r="C5" s="1512"/>
      <c r="D5" s="1512"/>
      <c r="E5" s="1512"/>
      <c r="F5" s="1512"/>
      <c r="G5" s="1512"/>
      <c r="H5" s="1512"/>
      <c r="I5" s="1512"/>
      <c r="J5" s="1512"/>
      <c r="K5" s="1512"/>
      <c r="L5" s="423"/>
      <c r="M5" s="423"/>
      <c r="N5" s="423"/>
      <c r="O5" s="423"/>
    </row>
    <row r="6" spans="1:22">
      <c r="A6" s="1513" t="str">
        <f>TCOS!F9</f>
        <v>AEP Appalachian Transmission Company</v>
      </c>
      <c r="B6" s="1513"/>
      <c r="C6" s="1513"/>
      <c r="D6" s="1513"/>
      <c r="E6" s="1513"/>
      <c r="F6" s="1513"/>
      <c r="G6" s="1513"/>
      <c r="H6" s="1513"/>
      <c r="I6" s="1513"/>
      <c r="J6" s="1513"/>
      <c r="K6" s="1513"/>
      <c r="L6" s="169"/>
      <c r="M6" s="169"/>
      <c r="N6" s="169"/>
      <c r="O6" s="169"/>
    </row>
    <row r="7" spans="1:22">
      <c r="A7" s="520"/>
      <c r="B7" s="520"/>
      <c r="C7" s="520"/>
      <c r="D7" s="520"/>
      <c r="E7" s="520"/>
      <c r="F7" s="520"/>
      <c r="G7" s="520"/>
      <c r="H7" s="520"/>
      <c r="I7" s="520"/>
      <c r="J7" s="520"/>
      <c r="K7" s="520"/>
      <c r="L7" s="520"/>
      <c r="M7" s="520"/>
      <c r="N7" s="520"/>
      <c r="O7" s="520"/>
    </row>
    <row r="8" spans="1:22" ht="18">
      <c r="A8" s="1524"/>
      <c r="B8" s="1524"/>
      <c r="C8" s="1524"/>
      <c r="D8" s="1524"/>
      <c r="E8" s="1524"/>
      <c r="F8" s="1524"/>
      <c r="G8" s="1524"/>
      <c r="H8" s="1524"/>
      <c r="I8" s="1524"/>
      <c r="J8" s="1524"/>
      <c r="K8" s="1524"/>
      <c r="L8" s="522"/>
      <c r="M8" s="523"/>
    </row>
    <row r="9" spans="1:22" ht="18">
      <c r="A9" s="521"/>
      <c r="B9" s="521"/>
      <c r="C9" s="521"/>
      <c r="D9" s="521"/>
      <c r="E9" s="521"/>
      <c r="F9" s="521"/>
      <c r="G9" s="521"/>
      <c r="H9" s="521"/>
      <c r="I9" s="521"/>
      <c r="J9" s="521"/>
      <c r="K9" s="521"/>
      <c r="L9" s="522"/>
      <c r="M9" s="523"/>
    </row>
    <row r="10" spans="1:22" ht="15.75">
      <c r="A10" s="524" t="s">
        <v>459</v>
      </c>
      <c r="B10" s="522"/>
      <c r="C10" s="525"/>
      <c r="D10" s="525"/>
      <c r="E10" s="525"/>
      <c r="F10" s="525"/>
      <c r="G10" s="526"/>
      <c r="H10" s="526"/>
      <c r="I10" s="524" t="s">
        <v>472</v>
      </c>
      <c r="J10" s="524" t="s">
        <v>355</v>
      </c>
      <c r="K10" s="527"/>
      <c r="N10" s="528"/>
      <c r="P10" s="528"/>
      <c r="R10" s="528"/>
      <c r="S10" s="528"/>
      <c r="T10" s="528"/>
      <c r="U10" s="394"/>
      <c r="V10" s="394"/>
    </row>
    <row r="11" spans="1:22" ht="15.75">
      <c r="A11" s="524" t="s">
        <v>397</v>
      </c>
      <c r="B11" s="1525" t="s">
        <v>457</v>
      </c>
      <c r="C11" s="1525"/>
      <c r="D11" s="1525"/>
      <c r="E11" s="1525"/>
      <c r="F11" s="1525"/>
      <c r="G11" s="1525"/>
      <c r="H11" s="1525"/>
      <c r="I11" s="529" t="s">
        <v>473</v>
      </c>
      <c r="J11" s="529" t="s">
        <v>407</v>
      </c>
      <c r="K11" s="529" t="s">
        <v>407</v>
      </c>
      <c r="N11" s="528"/>
      <c r="O11" s="528"/>
      <c r="P11" s="528"/>
      <c r="Q11" s="528"/>
      <c r="R11" s="528"/>
      <c r="S11" s="528"/>
      <c r="T11" s="530"/>
      <c r="U11" s="394"/>
      <c r="V11" s="394"/>
    </row>
    <row r="12" spans="1:22" ht="15.75">
      <c r="A12" s="526"/>
      <c r="B12" s="531"/>
      <c r="C12" s="522"/>
      <c r="D12" s="526"/>
      <c r="E12" s="526"/>
      <c r="F12" s="526"/>
      <c r="G12" s="526"/>
      <c r="H12" s="526"/>
      <c r="I12" s="526"/>
      <c r="J12" s="526"/>
      <c r="K12" s="532"/>
      <c r="N12" s="528"/>
      <c r="O12" s="528"/>
      <c r="P12" s="528"/>
      <c r="Q12" s="528"/>
      <c r="R12" s="528"/>
      <c r="S12" s="528"/>
      <c r="T12" s="530"/>
      <c r="U12" s="394"/>
      <c r="V12" s="394"/>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c r="J17" s="538">
        <f>+I17-K17</f>
        <v>0</v>
      </c>
      <c r="K17" s="559"/>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1">
        <v>4</v>
      </c>
      <c r="B19" s="1251" t="s">
        <v>768</v>
      </c>
      <c r="C19" s="348"/>
      <c r="D19" s="1252"/>
      <c r="E19" s="1252"/>
      <c r="F19" s="1252"/>
      <c r="G19" s="1002"/>
      <c r="H19" s="1252"/>
      <c r="I19" s="559"/>
      <c r="J19" s="538">
        <f>+I19-K19</f>
        <v>0</v>
      </c>
      <c r="K19" s="559"/>
      <c r="N19" s="545"/>
      <c r="O19" s="314"/>
      <c r="P19" s="314"/>
      <c r="Q19" s="314"/>
      <c r="R19" s="314"/>
      <c r="S19" s="314"/>
      <c r="T19" s="314"/>
      <c r="U19" s="314"/>
      <c r="V19" s="314"/>
    </row>
    <row r="20" spans="1:22" s="535" customFormat="1" ht="12.75">
      <c r="A20" s="1001"/>
      <c r="B20" s="1251"/>
      <c r="C20" s="348"/>
      <c r="D20" s="1252"/>
      <c r="E20" s="1252"/>
      <c r="F20" s="1252"/>
      <c r="G20" s="1002"/>
      <c r="H20" s="1252"/>
      <c r="I20" s="314"/>
      <c r="J20" s="314"/>
      <c r="K20" s="314"/>
      <c r="L20" s="314"/>
      <c r="N20" s="545"/>
      <c r="O20" s="314"/>
      <c r="P20" s="314"/>
      <c r="Q20" s="314"/>
      <c r="R20" s="314"/>
      <c r="S20" s="314"/>
      <c r="T20" s="314"/>
      <c r="U20" s="314"/>
      <c r="V20" s="314"/>
    </row>
    <row r="21" spans="1:22" s="535" customFormat="1" ht="12.75">
      <c r="A21" s="1001">
        <v>5</v>
      </c>
      <c r="B21" s="1251" t="s">
        <v>769</v>
      </c>
      <c r="C21" s="348"/>
      <c r="D21" s="1252"/>
      <c r="E21" s="1252"/>
      <c r="F21" s="1252"/>
      <c r="G21" s="1002"/>
      <c r="H21" s="1252"/>
      <c r="I21" s="559">
        <v>20978254.990229901</v>
      </c>
      <c r="J21" s="538">
        <f>+I21-K21</f>
        <v>20978254.990229901</v>
      </c>
      <c r="K21" s="559"/>
      <c r="N21" s="545"/>
      <c r="O21" s="314"/>
      <c r="P21" s="314"/>
      <c r="Q21" s="314"/>
      <c r="R21" s="314"/>
      <c r="S21" s="314"/>
      <c r="T21" s="314"/>
      <c r="U21" s="314"/>
      <c r="V21" s="314"/>
    </row>
    <row r="22" spans="1:22" s="535" customFormat="1" ht="12.75">
      <c r="A22" s="1001"/>
      <c r="B22" s="1251"/>
      <c r="C22" s="348"/>
      <c r="D22" s="1252"/>
      <c r="E22" s="1252"/>
      <c r="F22" s="1252"/>
      <c r="G22" s="1002"/>
      <c r="H22" s="1252"/>
      <c r="I22" s="559"/>
      <c r="J22" s="538"/>
      <c r="K22" s="559"/>
      <c r="N22" s="545"/>
      <c r="O22" s="314"/>
      <c r="P22" s="314"/>
      <c r="Q22" s="314"/>
      <c r="R22" s="314"/>
      <c r="S22" s="314"/>
      <c r="T22" s="314"/>
      <c r="U22" s="314"/>
      <c r="V22" s="314"/>
    </row>
    <row r="23" spans="1:22" s="535" customFormat="1" ht="12.75">
      <c r="A23" s="1001" t="s">
        <v>623</v>
      </c>
      <c r="B23" s="1251" t="s">
        <v>624</v>
      </c>
      <c r="C23" s="348"/>
      <c r="D23" s="1252"/>
      <c r="E23" s="1252"/>
      <c r="F23" s="1252"/>
      <c r="G23" s="1002"/>
      <c r="H23" s="1252"/>
      <c r="I23" s="1003"/>
      <c r="J23" s="1004">
        <v>0</v>
      </c>
      <c r="K23" s="1003"/>
      <c r="N23" s="545"/>
      <c r="O23" s="314"/>
      <c r="P23" s="314"/>
      <c r="Q23" s="314"/>
      <c r="R23" s="314"/>
      <c r="S23" s="314"/>
      <c r="T23" s="314"/>
      <c r="U23" s="314"/>
      <c r="V23" s="314"/>
    </row>
    <row r="24" spans="1:22" s="535" customFormat="1" ht="12.75">
      <c r="A24" s="1001"/>
      <c r="B24" s="1251"/>
      <c r="C24" s="348"/>
      <c r="D24" s="1252"/>
      <c r="E24" s="1252"/>
      <c r="F24" s="1252"/>
      <c r="G24" s="1002"/>
      <c r="H24" s="1252"/>
      <c r="I24" s="1003"/>
      <c r="J24" s="1004"/>
      <c r="K24" s="1003"/>
      <c r="N24" s="545"/>
      <c r="O24" s="314"/>
      <c r="P24" s="314"/>
      <c r="Q24" s="314"/>
      <c r="R24" s="314"/>
      <c r="S24" s="314"/>
      <c r="T24" s="314"/>
      <c r="U24" s="314"/>
      <c r="V24" s="314"/>
    </row>
    <row r="25" spans="1:22" s="535" customFormat="1" ht="12.75">
      <c r="A25" s="1001" t="s">
        <v>625</v>
      </c>
      <c r="B25" s="1251" t="s">
        <v>626</v>
      </c>
      <c r="C25" s="348"/>
      <c r="D25" s="1252"/>
      <c r="E25" s="1252"/>
      <c r="F25" s="1252"/>
      <c r="G25" s="1002"/>
      <c r="H25" s="1252"/>
      <c r="I25" s="1003"/>
      <c r="J25" s="1004">
        <v>0</v>
      </c>
      <c r="K25" s="1003"/>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20978254.990229901</v>
      </c>
      <c r="J27" s="547">
        <f>+J21+J19+J17+J15+J13+J23+J25</f>
        <v>20978254.990229901</v>
      </c>
      <c r="K27" s="547">
        <f>+K21+K19+K17+K15+K13+K23+K25</f>
        <v>0</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23" t="s">
        <v>12</v>
      </c>
      <c r="C29" s="1460"/>
      <c r="D29" s="1460"/>
      <c r="E29" s="1460"/>
      <c r="F29" s="1460"/>
      <c r="G29" s="1460"/>
      <c r="H29" s="541"/>
      <c r="I29" s="559"/>
      <c r="J29" s="538">
        <f>+I29-K29</f>
        <v>0</v>
      </c>
      <c r="K29" s="559"/>
      <c r="N29" s="314"/>
      <c r="O29" s="314"/>
      <c r="P29" s="314"/>
      <c r="Q29" s="314"/>
      <c r="R29" s="314"/>
      <c r="S29" s="314"/>
      <c r="T29" s="314"/>
      <c r="U29" s="314"/>
      <c r="V29" s="314"/>
    </row>
    <row r="30" spans="1:22" s="535" customFormat="1" ht="12.75">
      <c r="A30" s="533"/>
      <c r="B30" s="1460"/>
      <c r="C30" s="1460"/>
      <c r="D30" s="1460"/>
      <c r="E30" s="1460"/>
      <c r="F30" s="1460"/>
      <c r="G30" s="1460"/>
      <c r="H30" s="537"/>
      <c r="I30" s="546"/>
      <c r="J30" s="537"/>
      <c r="K30" s="548"/>
      <c r="N30" s="314"/>
      <c r="O30" s="314"/>
      <c r="P30" s="314"/>
      <c r="Q30" s="314"/>
      <c r="R30" s="314"/>
      <c r="S30" s="314"/>
      <c r="T30" s="314"/>
      <c r="U30" s="314"/>
      <c r="V30" s="314"/>
    </row>
    <row r="31" spans="1:22" s="535" customFormat="1" ht="12.75">
      <c r="A31" s="533">
        <f>+A29+1</f>
        <v>8</v>
      </c>
      <c r="B31" s="549" t="s">
        <v>497</v>
      </c>
      <c r="D31" s="536"/>
      <c r="E31" s="536"/>
      <c r="F31" s="537"/>
      <c r="G31" s="543"/>
      <c r="H31" s="537"/>
      <c r="I31" s="550">
        <f>+I27+I29</f>
        <v>20978254.990229901</v>
      </c>
      <c r="J31" s="550">
        <f>+J27+J29</f>
        <v>20978254.990229901</v>
      </c>
      <c r="K31" s="550">
        <f>+K27+K29</f>
        <v>0</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547</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4"/>
      <c r="O35" s="525"/>
      <c r="P35" s="525"/>
      <c r="Q35" s="525"/>
      <c r="R35" s="525"/>
      <c r="S35" s="394"/>
      <c r="T35" s="394"/>
      <c r="U35" s="394"/>
      <c r="V35" s="394"/>
    </row>
    <row r="36" spans="1:41" s="535" customFormat="1" ht="12.75" customHeight="1">
      <c r="A36" s="209" t="s">
        <v>287</v>
      </c>
      <c r="B36" s="152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522"/>
      <c r="D36" s="1522"/>
      <c r="E36" s="1522"/>
      <c r="F36" s="1522"/>
      <c r="G36" s="1522"/>
      <c r="H36" s="1522"/>
      <c r="I36" s="1522"/>
      <c r="J36" s="1522"/>
      <c r="K36" s="314"/>
      <c r="L36" s="314"/>
      <c r="M36" s="314"/>
      <c r="N36" s="314"/>
      <c r="O36" s="314"/>
      <c r="P36" s="314"/>
      <c r="Q36" s="314"/>
      <c r="R36" s="314"/>
      <c r="S36" s="314"/>
      <c r="T36" s="539"/>
      <c r="U36" s="314"/>
      <c r="V36" s="314"/>
    </row>
    <row r="37" spans="1:41" s="535" customFormat="1" ht="12.75">
      <c r="A37" s="314"/>
      <c r="B37" s="1522"/>
      <c r="C37" s="1522"/>
      <c r="D37" s="1522"/>
      <c r="E37" s="1522"/>
      <c r="F37" s="1522"/>
      <c r="G37" s="1522"/>
      <c r="H37" s="1522"/>
      <c r="I37" s="1522"/>
      <c r="J37" s="1522"/>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627</v>
      </c>
      <c r="B38" s="1253" t="s">
        <v>628</v>
      </c>
      <c r="C38" s="1075"/>
      <c r="D38" s="1075"/>
      <c r="E38" s="1075"/>
      <c r="F38" s="1075"/>
      <c r="G38" s="1075"/>
      <c r="H38" s="1075"/>
      <c r="I38" s="1075"/>
      <c r="J38" s="1000"/>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4"/>
      <c r="B39" s="393"/>
      <c r="E39" s="557"/>
      <c r="F39" s="557"/>
      <c r="G39" s="557"/>
      <c r="H39" s="557"/>
      <c r="I39" s="557"/>
      <c r="J39" s="557"/>
      <c r="K39" s="557"/>
      <c r="L39" s="393"/>
      <c r="M39" s="557"/>
      <c r="N39" s="557"/>
      <c r="O39" s="557"/>
      <c r="P39" s="557"/>
      <c r="Q39" s="557"/>
      <c r="R39" s="393"/>
      <c r="S39" s="393"/>
      <c r="T39" s="393"/>
      <c r="U39" s="393"/>
      <c r="V39" s="393"/>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4"/>
      <c r="B40" s="393"/>
      <c r="E40" s="557"/>
      <c r="F40" s="557"/>
      <c r="G40" s="557"/>
      <c r="H40" s="557"/>
      <c r="I40" s="557"/>
      <c r="J40" s="557"/>
      <c r="K40" s="557"/>
      <c r="L40" s="393"/>
      <c r="M40" s="557"/>
      <c r="N40" s="557"/>
      <c r="O40" s="557"/>
      <c r="P40" s="557"/>
      <c r="Q40" s="557"/>
      <c r="R40" s="393"/>
      <c r="S40" s="393"/>
      <c r="T40" s="393"/>
      <c r="U40" s="393"/>
      <c r="V40" s="393"/>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4"/>
      <c r="B41" s="393"/>
      <c r="E41" s="557"/>
      <c r="F41" s="557"/>
      <c r="G41" s="557"/>
      <c r="H41" s="557"/>
      <c r="I41" s="557"/>
      <c r="J41" s="557"/>
      <c r="K41" s="557"/>
      <c r="L41" s="393"/>
      <c r="M41" s="557"/>
      <c r="N41" s="557"/>
      <c r="O41" s="557"/>
      <c r="P41" s="557"/>
      <c r="Q41" s="557"/>
      <c r="R41" s="393"/>
      <c r="S41" s="393"/>
      <c r="T41" s="393"/>
      <c r="U41" s="393"/>
      <c r="V41" s="393"/>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4"/>
      <c r="B42" s="393"/>
      <c r="E42" s="557"/>
      <c r="F42" s="557"/>
      <c r="G42" s="557"/>
      <c r="H42" s="557"/>
      <c r="I42" s="557"/>
      <c r="J42" s="557"/>
      <c r="K42" s="557"/>
      <c r="L42" s="393"/>
      <c r="M42" s="557"/>
      <c r="N42" s="557"/>
      <c r="O42" s="557"/>
      <c r="P42" s="557"/>
      <c r="Q42" s="557"/>
      <c r="R42" s="393"/>
      <c r="S42" s="393"/>
      <c r="T42" s="393"/>
      <c r="U42" s="393"/>
      <c r="V42" s="393"/>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4"/>
      <c r="B43" s="393"/>
      <c r="E43" s="557"/>
      <c r="F43" s="557"/>
      <c r="G43" s="557"/>
      <c r="H43" s="557"/>
      <c r="I43" s="557"/>
      <c r="J43" s="557"/>
      <c r="K43" s="557"/>
      <c r="L43" s="393"/>
      <c r="M43" s="557"/>
      <c r="N43" s="557"/>
      <c r="O43" s="557"/>
      <c r="P43" s="557"/>
      <c r="Q43" s="557"/>
      <c r="R43" s="393"/>
      <c r="S43" s="393"/>
      <c r="T43" s="393"/>
      <c r="U43" s="393"/>
      <c r="V43" s="393"/>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4"/>
      <c r="B44" s="393"/>
      <c r="E44" s="557"/>
      <c r="F44" s="557"/>
      <c r="G44" s="557"/>
      <c r="H44" s="557"/>
      <c r="I44" s="557"/>
      <c r="J44" s="557"/>
      <c r="K44" s="557"/>
      <c r="L44" s="393"/>
      <c r="M44" s="557"/>
      <c r="N44" s="557"/>
      <c r="O44" s="557"/>
      <c r="P44" s="557"/>
      <c r="Q44" s="557"/>
      <c r="R44" s="393"/>
      <c r="S44" s="393"/>
      <c r="T44" s="393"/>
      <c r="U44" s="393"/>
      <c r="V44" s="393"/>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4"/>
      <c r="B45" s="393"/>
      <c r="E45" s="557"/>
      <c r="F45" s="557"/>
      <c r="G45" s="557"/>
      <c r="H45" s="557"/>
      <c r="I45" s="557"/>
      <c r="J45" s="557"/>
      <c r="K45" s="557"/>
      <c r="L45" s="393"/>
      <c r="M45" s="557"/>
      <c r="N45" s="557"/>
      <c r="O45" s="557"/>
      <c r="P45" s="557"/>
      <c r="Q45" s="557"/>
      <c r="R45" s="393"/>
      <c r="S45" s="393"/>
      <c r="T45" s="393"/>
      <c r="U45" s="393"/>
      <c r="V45" s="393"/>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4"/>
      <c r="B46" s="393"/>
      <c r="E46" s="557"/>
      <c r="F46" s="557"/>
      <c r="G46" s="557"/>
      <c r="H46" s="557"/>
      <c r="I46" s="557"/>
      <c r="J46" s="557"/>
      <c r="K46" s="557"/>
      <c r="L46" s="393"/>
      <c r="M46" s="557"/>
      <c r="N46" s="557"/>
      <c r="O46" s="557"/>
      <c r="P46" s="557"/>
      <c r="Q46" s="557"/>
      <c r="R46" s="393"/>
      <c r="S46" s="393"/>
      <c r="T46" s="393"/>
      <c r="U46" s="393"/>
      <c r="V46" s="393"/>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4"/>
      <c r="B47" s="393"/>
      <c r="E47" s="557"/>
      <c r="F47" s="557"/>
      <c r="G47" s="557"/>
      <c r="H47" s="557"/>
      <c r="I47" s="557"/>
      <c r="J47" s="557"/>
      <c r="K47" s="557"/>
      <c r="L47" s="393"/>
      <c r="M47" s="557"/>
      <c r="N47" s="557"/>
      <c r="O47" s="557"/>
      <c r="P47" s="557"/>
      <c r="Q47" s="557"/>
      <c r="R47" s="393"/>
      <c r="S47" s="393"/>
      <c r="T47" s="393"/>
      <c r="U47" s="393"/>
      <c r="V47" s="393"/>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4"/>
      <c r="B48" s="393"/>
      <c r="E48" s="557"/>
      <c r="F48" s="557"/>
      <c r="G48" s="557"/>
      <c r="H48" s="557"/>
      <c r="I48" s="557"/>
      <c r="J48" s="557"/>
      <c r="K48" s="557"/>
      <c r="L48" s="393"/>
      <c r="M48" s="557"/>
      <c r="N48" s="557"/>
      <c r="O48" s="557"/>
      <c r="P48" s="557"/>
      <c r="Q48" s="557"/>
      <c r="R48" s="393"/>
      <c r="S48" s="393"/>
      <c r="T48" s="393"/>
      <c r="U48" s="393"/>
      <c r="V48" s="393"/>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3"/>
      <c r="M49" s="557"/>
      <c r="N49" s="557"/>
      <c r="O49" s="557"/>
      <c r="P49" s="557"/>
      <c r="Q49" s="557"/>
      <c r="R49" s="393"/>
      <c r="S49" s="393"/>
      <c r="T49" s="393"/>
      <c r="U49" s="393"/>
      <c r="V49" s="393"/>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4"/>
      <c r="B50" s="393"/>
      <c r="E50" s="557"/>
      <c r="F50" s="557"/>
      <c r="G50" s="557"/>
      <c r="H50" s="557"/>
      <c r="I50" s="557"/>
      <c r="J50" s="557"/>
      <c r="K50" s="557"/>
      <c r="L50" s="393"/>
      <c r="M50" s="557"/>
      <c r="N50" s="557"/>
      <c r="O50" s="557"/>
      <c r="P50" s="557"/>
      <c r="Q50" s="557"/>
      <c r="R50" s="393"/>
      <c r="S50" s="393"/>
      <c r="T50" s="393"/>
      <c r="U50" s="393"/>
      <c r="V50" s="393"/>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4"/>
      <c r="B51" s="393"/>
      <c r="E51" s="557"/>
      <c r="F51" s="557"/>
      <c r="G51" s="557"/>
      <c r="H51" s="557"/>
      <c r="I51" s="557"/>
      <c r="J51" s="557"/>
      <c r="K51" s="557"/>
      <c r="L51" s="393"/>
      <c r="M51" s="557"/>
      <c r="N51" s="557"/>
      <c r="O51" s="557"/>
      <c r="P51" s="557"/>
      <c r="Q51" s="557"/>
      <c r="R51" s="393"/>
      <c r="S51" s="393"/>
      <c r="T51" s="393"/>
      <c r="U51" s="393"/>
      <c r="V51" s="393"/>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4"/>
      <c r="B52" s="393"/>
      <c r="E52" s="557"/>
      <c r="F52" s="557"/>
      <c r="G52" s="557"/>
      <c r="H52" s="557"/>
      <c r="I52" s="557"/>
      <c r="J52" s="557"/>
      <c r="K52" s="557"/>
      <c r="L52" s="393"/>
      <c r="M52" s="557"/>
      <c r="N52" s="557"/>
      <c r="O52" s="557"/>
      <c r="P52" s="557"/>
      <c r="Q52" s="557"/>
      <c r="R52" s="393"/>
      <c r="S52" s="393"/>
      <c r="T52" s="393"/>
      <c r="U52" s="393"/>
      <c r="V52" s="393"/>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4"/>
      <c r="B53" s="393"/>
      <c r="E53" s="557"/>
      <c r="F53" s="557"/>
      <c r="G53" s="557"/>
      <c r="H53" s="557"/>
      <c r="I53" s="557"/>
      <c r="J53" s="557"/>
      <c r="K53" s="557"/>
      <c r="L53" s="393"/>
      <c r="M53" s="557"/>
      <c r="N53" s="557"/>
      <c r="O53" s="557"/>
      <c r="P53" s="557"/>
      <c r="Q53" s="557"/>
      <c r="R53" s="393"/>
      <c r="S53" s="393"/>
      <c r="T53" s="393"/>
      <c r="U53" s="393"/>
      <c r="V53" s="393"/>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4"/>
      <c r="B54" s="393"/>
      <c r="E54" s="557"/>
      <c r="F54" s="557"/>
      <c r="G54" s="557"/>
      <c r="H54" s="557"/>
      <c r="I54" s="557"/>
      <c r="J54" s="557"/>
      <c r="K54" s="557"/>
      <c r="L54" s="393"/>
      <c r="M54" s="557"/>
      <c r="N54" s="557"/>
      <c r="O54" s="557"/>
      <c r="P54" s="557"/>
      <c r="Q54" s="557"/>
      <c r="R54" s="393"/>
      <c r="S54" s="393"/>
      <c r="T54" s="393"/>
      <c r="U54" s="393"/>
      <c r="V54" s="393"/>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4"/>
      <c r="B55" s="393"/>
      <c r="E55" s="557"/>
      <c r="F55" s="557"/>
      <c r="G55" s="557"/>
      <c r="H55" s="557"/>
      <c r="I55" s="557"/>
      <c r="J55" s="557"/>
      <c r="K55" s="557"/>
      <c r="L55" s="393"/>
      <c r="M55" s="557"/>
      <c r="N55" s="557"/>
      <c r="O55" s="557"/>
      <c r="P55" s="557"/>
      <c r="Q55" s="557"/>
      <c r="R55" s="393"/>
      <c r="S55" s="393"/>
      <c r="T55" s="393"/>
      <c r="U55" s="393"/>
      <c r="V55" s="393"/>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4"/>
      <c r="B56" s="393"/>
      <c r="E56" s="557"/>
      <c r="F56" s="557"/>
      <c r="G56" s="557"/>
      <c r="H56" s="557"/>
      <c r="I56" s="557"/>
      <c r="J56" s="557"/>
      <c r="K56" s="557"/>
      <c r="L56" s="393"/>
      <c r="M56" s="557"/>
      <c r="N56" s="557"/>
      <c r="O56" s="557"/>
      <c r="P56" s="557"/>
      <c r="Q56" s="557"/>
      <c r="R56" s="393"/>
      <c r="S56" s="393"/>
      <c r="T56" s="393"/>
      <c r="U56" s="393"/>
      <c r="V56" s="393"/>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4"/>
      <c r="B57" s="393"/>
      <c r="E57" s="557"/>
      <c r="F57" s="557"/>
      <c r="G57" s="557"/>
      <c r="H57" s="557"/>
      <c r="I57" s="557"/>
      <c r="J57" s="557"/>
      <c r="K57" s="557"/>
      <c r="L57" s="393"/>
      <c r="M57" s="557"/>
      <c r="N57" s="557"/>
      <c r="O57" s="557"/>
      <c r="P57" s="557"/>
      <c r="Q57" s="557"/>
      <c r="R57" s="393"/>
      <c r="S57" s="393"/>
      <c r="T57" s="393"/>
      <c r="U57" s="393"/>
      <c r="V57" s="393"/>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4"/>
      <c r="B58" s="393"/>
      <c r="E58" s="557"/>
      <c r="F58" s="557"/>
      <c r="G58" s="557"/>
      <c r="H58" s="557"/>
      <c r="I58" s="557"/>
      <c r="J58" s="557"/>
      <c r="K58" s="557"/>
      <c r="L58" s="393"/>
      <c r="M58" s="557"/>
      <c r="N58" s="557"/>
      <c r="O58" s="557"/>
      <c r="P58" s="557"/>
      <c r="Q58" s="557"/>
      <c r="R58" s="393"/>
      <c r="S58" s="393"/>
      <c r="T58" s="393"/>
      <c r="U58" s="393"/>
      <c r="V58" s="393"/>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4"/>
      <c r="B59" s="393"/>
      <c r="E59" s="557"/>
      <c r="F59" s="557"/>
      <c r="G59" s="557"/>
      <c r="H59" s="557"/>
      <c r="I59" s="557"/>
      <c r="J59" s="557"/>
      <c r="K59" s="557"/>
      <c r="L59" s="393"/>
      <c r="M59" s="557"/>
      <c r="N59" s="557"/>
      <c r="O59" s="557"/>
      <c r="P59" s="557"/>
      <c r="Q59" s="557"/>
      <c r="R59" s="393"/>
      <c r="S59" s="393"/>
      <c r="T59" s="393"/>
      <c r="U59" s="393"/>
      <c r="V59" s="393"/>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4"/>
      <c r="B60" s="393"/>
      <c r="E60" s="557"/>
      <c r="F60" s="557"/>
      <c r="G60" s="557"/>
      <c r="H60" s="557"/>
      <c r="I60" s="557"/>
      <c r="J60" s="557"/>
      <c r="K60" s="557"/>
      <c r="L60" s="393"/>
      <c r="M60" s="557"/>
      <c r="N60" s="557"/>
      <c r="O60" s="557"/>
      <c r="P60" s="557"/>
      <c r="Q60" s="557"/>
      <c r="R60" s="393"/>
      <c r="S60" s="393"/>
      <c r="T60" s="393"/>
      <c r="U60" s="393"/>
      <c r="V60" s="393"/>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4"/>
      <c r="B61" s="393"/>
      <c r="E61" s="557"/>
      <c r="F61" s="557"/>
      <c r="G61" s="557"/>
      <c r="H61" s="557"/>
      <c r="I61" s="557"/>
      <c r="J61" s="557"/>
      <c r="K61" s="557"/>
      <c r="L61" s="393"/>
      <c r="M61" s="557"/>
      <c r="N61" s="557"/>
      <c r="O61" s="557"/>
      <c r="P61" s="557"/>
      <c r="Q61" s="557"/>
      <c r="R61" s="393"/>
      <c r="S61" s="393"/>
      <c r="T61" s="393"/>
      <c r="U61" s="393"/>
      <c r="V61" s="393"/>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4"/>
      <c r="B62" s="393"/>
      <c r="E62" s="557"/>
      <c r="F62" s="557"/>
      <c r="G62" s="557"/>
      <c r="H62" s="557"/>
      <c r="I62" s="557"/>
      <c r="J62" s="557"/>
      <c r="K62" s="557"/>
      <c r="L62" s="393"/>
      <c r="M62" s="557"/>
      <c r="N62" s="557"/>
      <c r="O62" s="557"/>
      <c r="P62" s="557"/>
      <c r="Q62" s="557"/>
      <c r="R62" s="393"/>
      <c r="S62" s="393"/>
      <c r="T62" s="393"/>
      <c r="U62" s="393"/>
      <c r="V62" s="393"/>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4"/>
      <c r="B63" s="393"/>
      <c r="E63" s="557"/>
      <c r="F63" s="557"/>
      <c r="G63" s="557"/>
      <c r="H63" s="557"/>
      <c r="I63" s="557"/>
      <c r="J63" s="557"/>
      <c r="K63" s="557"/>
      <c r="L63" s="393"/>
      <c r="M63" s="557"/>
      <c r="N63" s="557"/>
      <c r="O63" s="557"/>
      <c r="P63" s="557"/>
      <c r="Q63" s="557"/>
      <c r="R63" s="393"/>
      <c r="S63" s="393"/>
      <c r="T63" s="393"/>
      <c r="U63" s="393"/>
      <c r="V63" s="393"/>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4"/>
      <c r="B64" s="393"/>
      <c r="E64" s="557"/>
      <c r="F64" s="557"/>
      <c r="G64" s="557"/>
      <c r="H64" s="557"/>
      <c r="I64" s="557"/>
      <c r="J64" s="557"/>
      <c r="K64" s="557"/>
      <c r="L64" s="393"/>
      <c r="M64" s="557"/>
      <c r="N64" s="557"/>
      <c r="O64" s="557"/>
      <c r="P64" s="557"/>
      <c r="Q64" s="557"/>
      <c r="R64" s="393"/>
      <c r="S64" s="393"/>
      <c r="T64" s="393"/>
      <c r="U64" s="393"/>
      <c r="V64" s="393"/>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4"/>
      <c r="B65" s="393"/>
      <c r="E65" s="557"/>
      <c r="F65" s="557"/>
      <c r="G65" s="557"/>
      <c r="H65" s="557"/>
      <c r="I65" s="557"/>
      <c r="J65" s="557"/>
      <c r="K65" s="557"/>
      <c r="L65" s="393"/>
      <c r="M65" s="557"/>
      <c r="N65" s="557"/>
      <c r="O65" s="557"/>
      <c r="P65" s="557"/>
      <c r="Q65" s="557"/>
      <c r="R65" s="393"/>
      <c r="S65" s="393"/>
      <c r="T65" s="393"/>
      <c r="U65" s="393"/>
      <c r="V65" s="393"/>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4"/>
      <c r="B66" s="393"/>
      <c r="E66" s="557"/>
      <c r="F66" s="557"/>
      <c r="G66" s="557"/>
      <c r="H66" s="557"/>
      <c r="I66" s="557"/>
      <c r="J66" s="557"/>
      <c r="K66" s="557"/>
      <c r="L66" s="393"/>
      <c r="M66" s="557"/>
      <c r="N66" s="557"/>
      <c r="O66" s="557"/>
      <c r="P66" s="557"/>
      <c r="Q66" s="557"/>
      <c r="R66" s="393"/>
      <c r="S66" s="393"/>
      <c r="T66" s="393"/>
      <c r="U66" s="393"/>
      <c r="V66" s="393"/>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4"/>
      <c r="B67" s="393"/>
      <c r="E67" s="557"/>
      <c r="F67" s="557"/>
      <c r="G67" s="557"/>
      <c r="H67" s="557"/>
      <c r="I67" s="557"/>
      <c r="J67" s="557"/>
      <c r="K67" s="557"/>
      <c r="L67" s="393"/>
      <c r="M67" s="557"/>
      <c r="N67" s="557"/>
      <c r="O67" s="557"/>
      <c r="P67" s="557"/>
      <c r="Q67" s="557"/>
      <c r="R67" s="393"/>
      <c r="S67" s="393"/>
      <c r="T67" s="393"/>
      <c r="U67" s="393"/>
      <c r="V67" s="393"/>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4"/>
      <c r="B68" s="393"/>
      <c r="E68" s="557"/>
      <c r="F68" s="557"/>
      <c r="G68" s="557"/>
      <c r="H68" s="557"/>
      <c r="I68" s="557"/>
      <c r="J68" s="557"/>
      <c r="K68" s="557"/>
      <c r="L68" s="393"/>
      <c r="M68" s="557"/>
      <c r="N68" s="557"/>
      <c r="O68" s="557"/>
      <c r="P68" s="557"/>
      <c r="Q68" s="557"/>
      <c r="R68" s="393"/>
      <c r="S68" s="393"/>
      <c r="T68" s="393"/>
      <c r="U68" s="393"/>
      <c r="V68" s="393"/>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4"/>
      <c r="B69" s="393"/>
      <c r="E69" s="557"/>
      <c r="F69" s="557"/>
      <c r="G69" s="557"/>
      <c r="H69" s="557"/>
      <c r="I69" s="557"/>
      <c r="J69" s="557"/>
      <c r="K69" s="557"/>
      <c r="L69" s="393"/>
      <c r="M69" s="557"/>
      <c r="N69" s="557"/>
      <c r="O69" s="557"/>
      <c r="P69" s="557"/>
      <c r="Q69" s="557"/>
      <c r="R69" s="393"/>
      <c r="S69" s="393"/>
      <c r="T69" s="393"/>
      <c r="U69" s="393"/>
      <c r="V69" s="393"/>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4"/>
      <c r="B70" s="393"/>
      <c r="E70" s="557"/>
      <c r="F70" s="557"/>
      <c r="G70" s="557"/>
      <c r="H70" s="557"/>
      <c r="I70" s="557"/>
      <c r="J70" s="557"/>
      <c r="K70" s="557"/>
      <c r="L70" s="393"/>
      <c r="M70" s="557"/>
      <c r="N70" s="557"/>
      <c r="O70" s="557"/>
      <c r="P70" s="557"/>
      <c r="Q70" s="557"/>
      <c r="R70" s="393"/>
      <c r="S70" s="393"/>
      <c r="T70" s="393"/>
      <c r="U70" s="393"/>
      <c r="V70" s="393"/>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4"/>
      <c r="B71" s="393"/>
      <c r="E71" s="557"/>
      <c r="F71" s="557"/>
      <c r="G71" s="557"/>
      <c r="H71" s="557"/>
      <c r="I71" s="557"/>
      <c r="J71" s="557"/>
      <c r="K71" s="557"/>
      <c r="L71" s="393"/>
      <c r="M71" s="557"/>
      <c r="N71" s="557"/>
      <c r="O71" s="557"/>
      <c r="P71" s="557"/>
      <c r="Q71" s="557"/>
      <c r="R71" s="393"/>
      <c r="S71" s="393"/>
      <c r="T71" s="393"/>
      <c r="U71" s="393"/>
      <c r="V71" s="393"/>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4"/>
      <c r="B72" s="393"/>
      <c r="E72" s="557"/>
      <c r="F72" s="557"/>
      <c r="G72" s="557"/>
      <c r="H72" s="557"/>
      <c r="I72" s="557"/>
      <c r="J72" s="557"/>
      <c r="K72" s="557"/>
      <c r="L72" s="393"/>
      <c r="M72" s="557"/>
      <c r="N72" s="557"/>
      <c r="O72" s="557"/>
      <c r="P72" s="557"/>
      <c r="Q72" s="557"/>
      <c r="R72" s="393"/>
      <c r="S72" s="393"/>
      <c r="T72" s="393"/>
      <c r="U72" s="393"/>
      <c r="V72" s="393"/>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4"/>
      <c r="B73" s="393"/>
      <c r="E73" s="557"/>
      <c r="F73" s="557"/>
      <c r="G73" s="557"/>
      <c r="H73" s="557"/>
      <c r="I73" s="557"/>
      <c r="J73" s="557"/>
      <c r="K73" s="557"/>
      <c r="L73" s="393"/>
      <c r="M73" s="557"/>
      <c r="N73" s="557"/>
      <c r="O73" s="557"/>
      <c r="P73" s="557"/>
      <c r="Q73" s="557"/>
      <c r="R73" s="393"/>
      <c r="S73" s="393"/>
      <c r="T73" s="393"/>
      <c r="U73" s="393"/>
      <c r="V73" s="393"/>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4"/>
      <c r="B74" s="393"/>
      <c r="E74" s="557"/>
      <c r="F74" s="557"/>
      <c r="G74" s="557"/>
      <c r="H74" s="557"/>
      <c r="I74" s="557"/>
      <c r="J74" s="557"/>
      <c r="K74" s="557"/>
      <c r="L74" s="393"/>
      <c r="M74" s="557"/>
      <c r="N74" s="557"/>
      <c r="O74" s="557"/>
      <c r="P74" s="557"/>
      <c r="Q74" s="557"/>
      <c r="R74" s="393"/>
      <c r="S74" s="393"/>
      <c r="T74" s="393"/>
      <c r="U74" s="393"/>
      <c r="V74" s="393"/>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4"/>
      <c r="B75" s="393"/>
      <c r="E75" s="557"/>
      <c r="F75" s="557"/>
      <c r="G75" s="557"/>
      <c r="H75" s="557"/>
      <c r="I75" s="557"/>
      <c r="J75" s="557"/>
      <c r="K75" s="557"/>
      <c r="L75" s="393"/>
      <c r="M75" s="557"/>
      <c r="N75" s="557"/>
      <c r="O75" s="557"/>
      <c r="P75" s="557"/>
      <c r="Q75" s="557"/>
      <c r="R75" s="393"/>
      <c r="S75" s="393"/>
      <c r="T75" s="393"/>
      <c r="U75" s="393"/>
      <c r="V75" s="393"/>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4"/>
      <c r="B76" s="393"/>
      <c r="E76" s="557"/>
      <c r="F76" s="557"/>
      <c r="G76" s="557"/>
      <c r="H76" s="557"/>
      <c r="I76" s="557"/>
      <c r="J76" s="557"/>
      <c r="K76" s="557"/>
      <c r="L76" s="393"/>
      <c r="M76" s="557"/>
      <c r="N76" s="557"/>
      <c r="O76" s="557"/>
      <c r="P76" s="557"/>
      <c r="Q76" s="557"/>
      <c r="R76" s="393"/>
      <c r="S76" s="393"/>
      <c r="T76" s="393"/>
      <c r="U76" s="393"/>
      <c r="V76" s="393"/>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4"/>
      <c r="B77" s="393"/>
      <c r="E77" s="557"/>
      <c r="F77" s="557"/>
      <c r="G77" s="557"/>
      <c r="H77" s="557"/>
      <c r="I77" s="557"/>
      <c r="J77" s="557"/>
      <c r="K77" s="557"/>
      <c r="L77" s="393"/>
      <c r="M77" s="557"/>
      <c r="N77" s="557"/>
      <c r="O77" s="557"/>
      <c r="P77" s="557"/>
      <c r="Q77" s="557"/>
      <c r="R77" s="393"/>
      <c r="S77" s="393"/>
      <c r="T77" s="393"/>
      <c r="U77" s="393"/>
      <c r="V77" s="393"/>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4"/>
      <c r="B78" s="393"/>
      <c r="E78" s="557"/>
      <c r="F78" s="557"/>
      <c r="G78" s="557"/>
      <c r="H78" s="557"/>
      <c r="I78" s="557"/>
      <c r="J78" s="557"/>
      <c r="K78" s="557"/>
      <c r="L78" s="393"/>
      <c r="M78" s="557"/>
      <c r="N78" s="557"/>
      <c r="O78" s="557"/>
      <c r="P78" s="557"/>
      <c r="Q78" s="557"/>
      <c r="R78" s="393"/>
      <c r="S78" s="393"/>
      <c r="T78" s="393"/>
      <c r="U78" s="393"/>
      <c r="V78" s="393"/>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4"/>
      <c r="B79" s="393"/>
      <c r="E79" s="557"/>
      <c r="F79" s="557"/>
      <c r="G79" s="557"/>
      <c r="H79" s="557"/>
      <c r="I79" s="557"/>
      <c r="J79" s="557"/>
      <c r="K79" s="557"/>
      <c r="L79" s="393"/>
      <c r="M79" s="557"/>
      <c r="N79" s="557"/>
      <c r="O79" s="557"/>
      <c r="P79" s="557"/>
      <c r="Q79" s="557"/>
      <c r="R79" s="393"/>
      <c r="S79" s="393"/>
      <c r="T79" s="393"/>
      <c r="U79" s="393"/>
      <c r="V79" s="393"/>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4"/>
      <c r="B80" s="393"/>
      <c r="E80" s="557"/>
      <c r="F80" s="557"/>
      <c r="G80" s="557"/>
      <c r="H80" s="557"/>
      <c r="I80" s="557"/>
      <c r="J80" s="557"/>
      <c r="K80" s="557"/>
      <c r="L80" s="393"/>
      <c r="M80" s="557"/>
      <c r="N80" s="557"/>
      <c r="O80" s="557"/>
      <c r="P80" s="557"/>
      <c r="Q80" s="557"/>
      <c r="R80" s="393"/>
      <c r="S80" s="393"/>
      <c r="T80" s="393"/>
      <c r="U80" s="393"/>
      <c r="V80" s="393"/>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4"/>
      <c r="B81" s="393"/>
      <c r="E81" s="557"/>
      <c r="F81" s="557"/>
      <c r="G81" s="557"/>
      <c r="H81" s="557"/>
      <c r="I81" s="557"/>
      <c r="J81" s="557"/>
      <c r="K81" s="557"/>
      <c r="L81" s="393"/>
      <c r="M81" s="557"/>
      <c r="N81" s="557"/>
      <c r="O81" s="557"/>
      <c r="P81" s="557"/>
      <c r="Q81" s="557"/>
      <c r="R81" s="393"/>
      <c r="S81" s="393"/>
      <c r="T81" s="393"/>
      <c r="U81" s="393"/>
      <c r="V81" s="393"/>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4"/>
      <c r="B82" s="393"/>
      <c r="E82" s="557"/>
      <c r="F82" s="557"/>
      <c r="G82" s="557"/>
      <c r="H82" s="557"/>
      <c r="I82" s="557"/>
      <c r="J82" s="557"/>
      <c r="K82" s="557"/>
      <c r="L82" s="393"/>
      <c r="M82" s="557"/>
      <c r="N82" s="557"/>
      <c r="O82" s="557"/>
      <c r="P82" s="557"/>
      <c r="Q82" s="557"/>
      <c r="R82" s="393"/>
      <c r="S82" s="393"/>
      <c r="T82" s="393"/>
      <c r="U82" s="393"/>
      <c r="V82" s="393"/>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4"/>
      <c r="B83" s="393"/>
      <c r="E83" s="557"/>
      <c r="F83" s="557"/>
      <c r="G83" s="557"/>
      <c r="H83" s="557"/>
      <c r="I83" s="557"/>
      <c r="J83" s="557"/>
      <c r="K83" s="557"/>
      <c r="L83" s="393"/>
      <c r="M83" s="557"/>
      <c r="N83" s="557"/>
      <c r="O83" s="557"/>
      <c r="P83" s="557"/>
      <c r="Q83" s="557"/>
      <c r="R83" s="393"/>
      <c r="S83" s="393"/>
      <c r="T83" s="393"/>
      <c r="U83" s="393"/>
      <c r="V83" s="393"/>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4"/>
      <c r="B84" s="393"/>
      <c r="E84" s="557"/>
      <c r="F84" s="557"/>
      <c r="G84" s="557"/>
      <c r="H84" s="557"/>
      <c r="I84" s="557"/>
      <c r="J84" s="557"/>
      <c r="K84" s="557"/>
      <c r="L84" s="393"/>
      <c r="M84" s="557"/>
      <c r="N84" s="557"/>
      <c r="O84" s="557"/>
      <c r="P84" s="557"/>
      <c r="Q84" s="557"/>
      <c r="R84" s="393"/>
      <c r="S84" s="393"/>
      <c r="T84" s="393"/>
      <c r="U84" s="393"/>
      <c r="V84" s="393"/>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4"/>
      <c r="B85" s="393"/>
      <c r="E85" s="557"/>
      <c r="F85" s="557"/>
      <c r="G85" s="557"/>
      <c r="H85" s="557"/>
      <c r="I85" s="557"/>
      <c r="J85" s="557"/>
      <c r="K85" s="557"/>
      <c r="L85" s="393"/>
      <c r="M85" s="557"/>
      <c r="N85" s="557"/>
      <c r="O85" s="557"/>
      <c r="P85" s="557"/>
      <c r="Q85" s="557"/>
      <c r="R85" s="393"/>
      <c r="S85" s="393"/>
      <c r="T85" s="393"/>
      <c r="U85" s="393"/>
      <c r="V85" s="393"/>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4"/>
      <c r="B86" s="393"/>
      <c r="E86" s="557"/>
      <c r="F86" s="557"/>
      <c r="G86" s="557"/>
      <c r="H86" s="557"/>
      <c r="I86" s="557"/>
      <c r="J86" s="557"/>
      <c r="K86" s="557"/>
      <c r="L86" s="393"/>
      <c r="M86" s="557"/>
      <c r="N86" s="557"/>
      <c r="O86" s="557"/>
      <c r="P86" s="557"/>
      <c r="Q86" s="557"/>
      <c r="R86" s="393"/>
      <c r="S86" s="393"/>
      <c r="T86" s="393"/>
      <c r="U86" s="393"/>
      <c r="V86" s="393"/>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4"/>
      <c r="B87" s="393"/>
      <c r="E87" s="557"/>
      <c r="F87" s="557"/>
      <c r="G87" s="557"/>
      <c r="H87" s="557"/>
      <c r="I87" s="557"/>
      <c r="J87" s="557"/>
      <c r="K87" s="557"/>
      <c r="L87" s="393"/>
      <c r="M87" s="557"/>
      <c r="N87" s="557"/>
      <c r="O87" s="557"/>
      <c r="P87" s="557"/>
      <c r="Q87" s="557"/>
      <c r="R87" s="393"/>
      <c r="S87" s="393"/>
      <c r="T87" s="393"/>
      <c r="U87" s="393"/>
      <c r="V87" s="393"/>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4"/>
      <c r="B88" s="393"/>
      <c r="E88" s="557"/>
      <c r="F88" s="557"/>
      <c r="G88" s="557"/>
      <c r="H88" s="557"/>
      <c r="I88" s="557"/>
      <c r="J88" s="557"/>
      <c r="K88" s="557"/>
      <c r="L88" s="393"/>
      <c r="M88" s="557"/>
      <c r="N88" s="557"/>
      <c r="O88" s="557"/>
      <c r="P88" s="557"/>
      <c r="Q88" s="557"/>
      <c r="R88" s="393"/>
      <c r="S88" s="393"/>
      <c r="T88" s="393"/>
      <c r="U88" s="393"/>
      <c r="V88" s="393"/>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4"/>
      <c r="B89" s="393"/>
      <c r="E89" s="557"/>
      <c r="F89" s="557"/>
      <c r="G89" s="557"/>
      <c r="H89" s="557"/>
      <c r="I89" s="557"/>
      <c r="J89" s="557"/>
      <c r="K89" s="557"/>
      <c r="L89" s="393"/>
      <c r="M89" s="557"/>
      <c r="N89" s="557"/>
      <c r="O89" s="557"/>
      <c r="P89" s="557"/>
      <c r="Q89" s="557"/>
      <c r="R89" s="393"/>
      <c r="S89" s="393"/>
      <c r="T89" s="393"/>
      <c r="U89" s="393"/>
      <c r="V89" s="393"/>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4"/>
      <c r="B90" s="393"/>
      <c r="E90" s="557"/>
      <c r="F90" s="557"/>
      <c r="G90" s="557"/>
      <c r="H90" s="557"/>
      <c r="I90" s="557"/>
      <c r="J90" s="557"/>
      <c r="K90" s="557"/>
      <c r="L90" s="393"/>
      <c r="M90" s="557"/>
      <c r="N90" s="557"/>
      <c r="O90" s="557"/>
      <c r="P90" s="557"/>
      <c r="Q90" s="557"/>
      <c r="R90" s="393"/>
      <c r="S90" s="393"/>
      <c r="T90" s="393"/>
      <c r="U90" s="393"/>
      <c r="V90" s="393"/>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4"/>
      <c r="B91" s="393"/>
      <c r="E91" s="557"/>
      <c r="F91" s="557"/>
      <c r="G91" s="557"/>
      <c r="H91" s="557"/>
      <c r="I91" s="557"/>
      <c r="J91" s="557"/>
      <c r="K91" s="557"/>
      <c r="L91" s="393"/>
      <c r="M91" s="557"/>
      <c r="N91" s="557"/>
      <c r="O91" s="557"/>
      <c r="P91" s="557"/>
      <c r="Q91" s="557"/>
      <c r="R91" s="393"/>
      <c r="S91" s="393"/>
      <c r="T91" s="393"/>
      <c r="U91" s="393"/>
      <c r="V91" s="393"/>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4"/>
      <c r="B92" s="393"/>
      <c r="E92" s="557"/>
      <c r="F92" s="557"/>
      <c r="G92" s="557"/>
      <c r="H92" s="557"/>
      <c r="I92" s="557"/>
      <c r="J92" s="557"/>
      <c r="K92" s="557"/>
      <c r="L92" s="393"/>
      <c r="M92" s="557"/>
      <c r="N92" s="557"/>
      <c r="O92" s="557"/>
      <c r="P92" s="557"/>
      <c r="Q92" s="557"/>
      <c r="R92" s="393"/>
      <c r="S92" s="393"/>
      <c r="T92" s="393"/>
      <c r="U92" s="393"/>
      <c r="V92" s="393"/>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4"/>
      <c r="B93" s="393"/>
      <c r="E93" s="557"/>
      <c r="F93" s="557"/>
      <c r="G93" s="557"/>
      <c r="H93" s="557"/>
      <c r="I93" s="557"/>
      <c r="J93" s="557"/>
      <c r="K93" s="557"/>
      <c r="L93" s="393"/>
      <c r="M93" s="557"/>
      <c r="N93" s="557"/>
      <c r="O93" s="557"/>
      <c r="P93" s="557"/>
      <c r="Q93" s="557"/>
      <c r="R93" s="393"/>
      <c r="S93" s="393"/>
      <c r="T93" s="393"/>
      <c r="U93" s="393"/>
      <c r="V93" s="393"/>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4"/>
      <c r="B94" s="393"/>
      <c r="E94" s="557"/>
      <c r="F94" s="557"/>
      <c r="G94" s="557"/>
      <c r="H94" s="557"/>
      <c r="I94" s="557"/>
      <c r="J94" s="557"/>
      <c r="K94" s="557"/>
      <c r="L94" s="393"/>
      <c r="M94" s="557"/>
      <c r="N94" s="557"/>
      <c r="O94" s="557"/>
      <c r="P94" s="557"/>
      <c r="Q94" s="557"/>
      <c r="R94" s="393"/>
      <c r="S94" s="393"/>
      <c r="T94" s="393"/>
      <c r="U94" s="393"/>
      <c r="V94" s="393"/>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4"/>
      <c r="B95" s="393"/>
      <c r="E95" s="557"/>
      <c r="F95" s="557"/>
      <c r="G95" s="557"/>
      <c r="H95" s="557"/>
      <c r="I95" s="557"/>
      <c r="J95" s="557"/>
      <c r="K95" s="557"/>
      <c r="L95" s="393"/>
      <c r="M95" s="557"/>
      <c r="N95" s="557"/>
      <c r="O95" s="557"/>
      <c r="P95" s="557"/>
      <c r="Q95" s="557"/>
      <c r="R95" s="393"/>
      <c r="S95" s="393"/>
      <c r="T95" s="393"/>
      <c r="U95" s="393"/>
      <c r="V95" s="393"/>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4"/>
      <c r="B96" s="393"/>
      <c r="E96" s="557"/>
      <c r="F96" s="557"/>
      <c r="G96" s="557"/>
      <c r="H96" s="557"/>
      <c r="I96" s="557"/>
      <c r="J96" s="557"/>
      <c r="K96" s="557"/>
      <c r="L96" s="393"/>
      <c r="M96" s="557"/>
      <c r="N96" s="557"/>
      <c r="O96" s="557"/>
      <c r="P96" s="557"/>
      <c r="Q96" s="557"/>
      <c r="R96" s="393"/>
      <c r="S96" s="393"/>
      <c r="T96" s="393"/>
      <c r="U96" s="393"/>
      <c r="V96" s="393"/>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4"/>
      <c r="B97" s="393"/>
      <c r="E97" s="557"/>
      <c r="F97" s="557"/>
      <c r="G97" s="557"/>
      <c r="H97" s="557"/>
      <c r="I97" s="557"/>
      <c r="J97" s="557"/>
      <c r="K97" s="557"/>
      <c r="L97" s="393"/>
      <c r="M97" s="557"/>
      <c r="N97" s="557"/>
      <c r="O97" s="557"/>
      <c r="P97" s="557"/>
      <c r="Q97" s="557"/>
      <c r="R97" s="393"/>
      <c r="S97" s="393"/>
      <c r="T97" s="393"/>
      <c r="U97" s="393"/>
      <c r="V97" s="393"/>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4"/>
      <c r="B98" s="393"/>
      <c r="E98" s="557"/>
      <c r="F98" s="557"/>
      <c r="G98" s="557"/>
      <c r="H98" s="557"/>
      <c r="I98" s="557"/>
      <c r="J98" s="557"/>
      <c r="K98" s="557"/>
      <c r="L98" s="393"/>
      <c r="M98" s="557"/>
      <c r="N98" s="557"/>
      <c r="O98" s="557"/>
      <c r="P98" s="557"/>
      <c r="Q98" s="557"/>
      <c r="R98" s="393"/>
      <c r="S98" s="393"/>
      <c r="T98" s="393"/>
      <c r="U98" s="393"/>
      <c r="V98" s="393"/>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4"/>
      <c r="B99" s="393"/>
      <c r="E99" s="557"/>
      <c r="F99" s="557"/>
      <c r="G99" s="557"/>
      <c r="H99" s="557"/>
      <c r="I99" s="557"/>
      <c r="J99" s="557"/>
      <c r="K99" s="557"/>
      <c r="L99" s="393"/>
      <c r="M99" s="557"/>
      <c r="N99" s="557"/>
      <c r="O99" s="557"/>
      <c r="P99" s="557"/>
      <c r="Q99" s="557"/>
      <c r="R99" s="393"/>
      <c r="S99" s="393"/>
      <c r="T99" s="393"/>
      <c r="U99" s="393"/>
      <c r="V99" s="393"/>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2"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5" t="s">
        <v>406</v>
      </c>
    </row>
    <row r="2" spans="1:11" ht="15.75">
      <c r="A2" s="1005" t="s">
        <v>406</v>
      </c>
    </row>
    <row r="3" spans="1:11">
      <c r="A3" s="1492" t="str">
        <f>TCOS!$F$5</f>
        <v>AEPTCo subsidiaries in PJM</v>
      </c>
      <c r="B3" s="1492" t="str">
        <f>TCOS!$F$5</f>
        <v>AEPTCo subsidiaries in PJM</v>
      </c>
      <c r="C3" s="1492" t="str">
        <f>TCOS!$F$5</f>
        <v>AEPTCo subsidiaries in PJM</v>
      </c>
      <c r="D3" s="1492" t="str">
        <f>TCOS!$F$5</f>
        <v>AEPTCo subsidiaries in PJM</v>
      </c>
      <c r="E3" s="1492" t="str">
        <f>TCOS!$F$5</f>
        <v>AEPTCo subsidiaries in PJM</v>
      </c>
      <c r="F3" s="1492" t="str">
        <f>TCOS!$F$5</f>
        <v>AEPTCo subsidiaries in PJM</v>
      </c>
      <c r="G3" s="1492" t="str">
        <f>TCOS!$F$5</f>
        <v>AEPTCo subsidiaries in PJM</v>
      </c>
      <c r="H3" s="21"/>
    </row>
    <row r="4" spans="1:11" ht="12.75" customHeight="1">
      <c r="A4" s="1485" t="str">
        <f>"Cost of Service Formula Rate Using Actual/Projected FF1 Balances"</f>
        <v>Cost of Service Formula Rate Using Actual/Projected FF1 Balances</v>
      </c>
      <c r="B4" s="1485"/>
      <c r="C4" s="1485"/>
      <c r="D4" s="1485"/>
      <c r="E4" s="1485"/>
      <c r="F4" s="1485"/>
      <c r="G4" s="1485"/>
      <c r="H4" s="52"/>
      <c r="I4" s="52"/>
      <c r="J4" s="52"/>
      <c r="K4" s="52"/>
    </row>
    <row r="5" spans="1:11" ht="12.75" customHeight="1">
      <c r="A5" s="1485" t="s">
        <v>278</v>
      </c>
      <c r="B5" s="1485"/>
      <c r="C5" s="1485"/>
      <c r="D5" s="1485"/>
      <c r="E5" s="1485"/>
      <c r="F5" s="1485"/>
      <c r="G5" s="1485"/>
    </row>
    <row r="6" spans="1:11" ht="12.75" customHeight="1">
      <c r="A6" s="1495" t="str">
        <f>TCOS!F9</f>
        <v>AEP Appalachian Transmission Company</v>
      </c>
      <c r="B6" s="1495"/>
      <c r="C6" s="1495"/>
      <c r="D6" s="1495"/>
      <c r="E6" s="1495"/>
      <c r="F6" s="1495"/>
      <c r="G6" s="1495"/>
    </row>
    <row r="7" spans="1:11" ht="12.75" customHeight="1">
      <c r="A7" s="1492"/>
      <c r="B7" s="1492"/>
      <c r="C7" s="1492"/>
      <c r="D7" s="1492"/>
      <c r="E7" s="1492"/>
      <c r="F7" s="1492"/>
      <c r="G7" s="25"/>
    </row>
    <row r="8" spans="1:11" ht="18">
      <c r="A8" s="1526"/>
      <c r="B8" s="1526"/>
      <c r="C8" s="1526"/>
      <c r="D8" s="1526"/>
      <c r="E8" s="1526"/>
      <c r="F8" s="1526"/>
      <c r="G8" s="1526"/>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2025</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6"/>
      <c r="C18" s="561"/>
      <c r="D18" s="560"/>
      <c r="E18" s="48"/>
      <c r="F18" s="48"/>
      <c r="G18" s="22"/>
    </row>
    <row r="19" spans="1:7">
      <c r="A19" s="32">
        <f>+A18+1</f>
        <v>2</v>
      </c>
      <c r="B19" s="967"/>
      <c r="C19" s="968"/>
      <c r="D19" s="560"/>
      <c r="E19" s="48"/>
      <c r="F19" s="48"/>
      <c r="G19" s="22"/>
    </row>
    <row r="20" spans="1:7" ht="15.75">
      <c r="A20" s="32">
        <f>+A19+1</f>
        <v>3</v>
      </c>
      <c r="B20" s="969"/>
      <c r="C20" s="561"/>
      <c r="D20" s="560"/>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4"/>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145947.32111147846</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28480.74296038154</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174428.06407185999</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66" t="s">
        <v>918</v>
      </c>
      <c r="C36" s="561" t="s">
        <v>919</v>
      </c>
      <c r="D36" s="560">
        <v>0</v>
      </c>
      <c r="E36" s="1254">
        <v>0</v>
      </c>
      <c r="F36" s="1254">
        <v>0</v>
      </c>
      <c r="G36" s="22"/>
    </row>
    <row r="37" spans="1:19">
      <c r="A37" s="32">
        <f>+A36+1</f>
        <v>16</v>
      </c>
      <c r="B37" s="966" t="s">
        <v>920</v>
      </c>
      <c r="C37" s="561" t="s">
        <v>921</v>
      </c>
      <c r="D37" s="560">
        <v>0</v>
      </c>
      <c r="E37" s="1254">
        <v>0</v>
      </c>
      <c r="F37" s="1254">
        <v>0</v>
      </c>
      <c r="G37" s="22"/>
    </row>
    <row r="38" spans="1:19">
      <c r="A38" s="32">
        <f>+A37+1</f>
        <v>17</v>
      </c>
      <c r="B38" s="966" t="s">
        <v>922</v>
      </c>
      <c r="C38" s="561" t="s">
        <v>923</v>
      </c>
      <c r="D38" s="560">
        <v>0</v>
      </c>
      <c r="E38" s="1254">
        <v>0</v>
      </c>
      <c r="F38" s="1254">
        <v>0</v>
      </c>
      <c r="G38" s="22"/>
    </row>
    <row r="39" spans="1:19">
      <c r="A39" s="32">
        <f>+A38+1</f>
        <v>18</v>
      </c>
      <c r="B39" s="966" t="s">
        <v>924</v>
      </c>
      <c r="C39" s="561" t="s">
        <v>925</v>
      </c>
      <c r="D39" s="560">
        <v>0</v>
      </c>
      <c r="E39" s="1254">
        <v>0</v>
      </c>
      <c r="F39" s="1254">
        <v>0</v>
      </c>
      <c r="G39" s="50"/>
    </row>
    <row r="40" spans="1:19">
      <c r="A40" s="32">
        <f>+A39+1</f>
        <v>19</v>
      </c>
      <c r="B40" s="966"/>
      <c r="C40" s="561"/>
      <c r="D40" s="560"/>
      <c r="E40" s="23"/>
      <c r="F40" s="23"/>
      <c r="G40" s="50"/>
    </row>
    <row r="41" spans="1:19">
      <c r="A41" s="32">
        <f>+A40+1</f>
        <v>20</v>
      </c>
      <c r="B41" s="966"/>
      <c r="C41" s="561"/>
      <c r="D41" s="560"/>
      <c r="E41" s="23"/>
      <c r="F41" s="23"/>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5" t="s">
        <v>629</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66" t="s">
        <v>926</v>
      </c>
      <c r="C47" s="561" t="s">
        <v>927</v>
      </c>
      <c r="D47" s="562">
        <v>0</v>
      </c>
      <c r="E47" s="1410">
        <v>0</v>
      </c>
      <c r="F47" s="1410">
        <v>0</v>
      </c>
      <c r="G47"/>
      <c r="M47" s="12"/>
      <c r="N47" s="44"/>
      <c r="O47" s="45"/>
      <c r="P47" s="45"/>
      <c r="Q47" s="45"/>
      <c r="R47" s="45"/>
      <c r="S47" s="14"/>
    </row>
    <row r="48" spans="1:19">
      <c r="A48" s="32">
        <f>+A47+1</f>
        <v>23</v>
      </c>
      <c r="B48" s="966" t="s">
        <v>928</v>
      </c>
      <c r="C48" s="561" t="s">
        <v>929</v>
      </c>
      <c r="D48" s="562">
        <v>0</v>
      </c>
      <c r="E48" s="1410">
        <v>0</v>
      </c>
      <c r="F48" s="1410">
        <v>0</v>
      </c>
      <c r="G48"/>
      <c r="M48" s="12"/>
      <c r="N48" s="44"/>
      <c r="O48" s="45"/>
      <c r="P48" s="45"/>
      <c r="Q48" s="45"/>
      <c r="R48" s="45"/>
      <c r="S48" s="14"/>
    </row>
    <row r="49" spans="1:19">
      <c r="A49" s="32">
        <f t="shared" ref="A49:A62" si="1">+A48+1</f>
        <v>24</v>
      </c>
      <c r="B49" s="966" t="s">
        <v>930</v>
      </c>
      <c r="C49" s="561" t="s">
        <v>931</v>
      </c>
      <c r="D49" s="562">
        <v>0</v>
      </c>
      <c r="E49" s="1410">
        <v>0</v>
      </c>
      <c r="F49" s="1410">
        <v>0</v>
      </c>
      <c r="G49"/>
      <c r="M49" s="12"/>
      <c r="N49" s="44"/>
      <c r="O49" s="45"/>
      <c r="P49" s="45"/>
      <c r="Q49" s="45"/>
      <c r="R49" s="45"/>
      <c r="S49" s="14"/>
    </row>
    <row r="50" spans="1:19">
      <c r="A50" s="32">
        <f t="shared" si="1"/>
        <v>25</v>
      </c>
      <c r="B50" s="966" t="s">
        <v>932</v>
      </c>
      <c r="C50" s="561" t="s">
        <v>933</v>
      </c>
      <c r="D50" s="562">
        <v>0</v>
      </c>
      <c r="E50" s="1410">
        <v>0</v>
      </c>
      <c r="F50" s="1410">
        <v>0</v>
      </c>
      <c r="G50"/>
      <c r="M50" s="12"/>
      <c r="N50" s="44"/>
      <c r="O50" s="45"/>
      <c r="P50" s="45"/>
      <c r="Q50" s="45"/>
      <c r="R50" s="45"/>
      <c r="S50" s="14"/>
    </row>
    <row r="51" spans="1:19">
      <c r="A51" s="32">
        <f t="shared" si="1"/>
        <v>26</v>
      </c>
      <c r="B51" s="966" t="s">
        <v>934</v>
      </c>
      <c r="C51" s="561" t="s">
        <v>935</v>
      </c>
      <c r="D51" s="562">
        <v>0</v>
      </c>
      <c r="E51" s="1410">
        <v>0</v>
      </c>
      <c r="F51" s="1410">
        <v>0</v>
      </c>
      <c r="G51"/>
      <c r="M51" s="12"/>
      <c r="N51" s="44"/>
      <c r="O51" s="45"/>
      <c r="P51" s="45"/>
      <c r="Q51" s="45"/>
      <c r="R51" s="45"/>
      <c r="S51" s="14"/>
    </row>
    <row r="52" spans="1:19">
      <c r="A52" s="32">
        <f t="shared" si="1"/>
        <v>27</v>
      </c>
      <c r="B52" s="966" t="s">
        <v>936</v>
      </c>
      <c r="C52" s="561" t="s">
        <v>937</v>
      </c>
      <c r="D52" s="562">
        <v>0</v>
      </c>
      <c r="E52" s="1410">
        <v>0</v>
      </c>
      <c r="F52" s="1410">
        <v>0</v>
      </c>
      <c r="G52"/>
      <c r="M52" s="12"/>
      <c r="N52" s="44"/>
      <c r="O52" s="45"/>
      <c r="P52" s="45"/>
      <c r="Q52" s="45"/>
      <c r="R52" s="45"/>
      <c r="S52" s="14"/>
    </row>
    <row r="53" spans="1:19">
      <c r="A53" s="32">
        <f t="shared" si="1"/>
        <v>28</v>
      </c>
      <c r="B53" s="966"/>
      <c r="C53" s="561"/>
      <c r="D53" s="562"/>
      <c r="E53" s="23"/>
      <c r="F53" s="23"/>
      <c r="G53"/>
      <c r="M53" s="12"/>
      <c r="N53" s="44"/>
      <c r="O53" s="45"/>
      <c r="P53" s="45"/>
      <c r="Q53" s="45"/>
      <c r="R53" s="45"/>
      <c r="S53" s="14"/>
    </row>
    <row r="54" spans="1:19">
      <c r="A54" s="32">
        <f t="shared" si="1"/>
        <v>29</v>
      </c>
      <c r="B54" s="966"/>
      <c r="C54" s="561"/>
      <c r="D54" s="562"/>
      <c r="E54" s="23"/>
      <c r="F54" s="23"/>
      <c r="G54"/>
      <c r="M54" s="12"/>
      <c r="N54" s="44"/>
      <c r="O54" s="45"/>
      <c r="P54" s="45"/>
      <c r="Q54" s="45"/>
      <c r="R54" s="45"/>
      <c r="S54" s="14"/>
    </row>
    <row r="55" spans="1:19">
      <c r="A55" s="32">
        <f t="shared" si="1"/>
        <v>30</v>
      </c>
      <c r="B55" s="966"/>
      <c r="C55" s="561"/>
      <c r="D55" s="562"/>
      <c r="E55" s="23"/>
      <c r="F55" s="23"/>
      <c r="G55"/>
      <c r="M55" s="12"/>
      <c r="N55" s="44"/>
      <c r="O55" s="45"/>
      <c r="P55" s="45"/>
      <c r="Q55" s="45"/>
      <c r="R55" s="45"/>
      <c r="S55" s="14"/>
    </row>
    <row r="56" spans="1:19">
      <c r="A56" s="32">
        <f t="shared" si="1"/>
        <v>31</v>
      </c>
      <c r="B56" s="966"/>
      <c r="C56" s="561"/>
      <c r="D56" s="562"/>
      <c r="E56" s="23"/>
      <c r="F56" s="23"/>
      <c r="G56"/>
      <c r="M56" s="12"/>
      <c r="N56" s="44"/>
      <c r="O56" s="45"/>
      <c r="P56" s="45"/>
      <c r="Q56" s="45"/>
      <c r="R56" s="45"/>
      <c r="S56" s="14"/>
    </row>
    <row r="57" spans="1:19">
      <c r="A57" s="32">
        <f t="shared" si="1"/>
        <v>32</v>
      </c>
      <c r="B57" s="966"/>
      <c r="C57" s="561"/>
      <c r="D57" s="562"/>
      <c r="E57" s="23"/>
      <c r="F57" s="29"/>
      <c r="G57"/>
      <c r="M57" s="12"/>
      <c r="N57" s="44"/>
      <c r="O57" s="45"/>
      <c r="P57" s="45"/>
      <c r="Q57" s="45"/>
      <c r="R57" s="45"/>
      <c r="S57" s="14"/>
    </row>
    <row r="58" spans="1:19">
      <c r="A58" s="32">
        <f t="shared" si="1"/>
        <v>33</v>
      </c>
      <c r="B58" s="966"/>
      <c r="C58" s="561"/>
      <c r="D58" s="562"/>
      <c r="E58" s="23"/>
      <c r="F58" s="29"/>
      <c r="G58"/>
    </row>
    <row r="59" spans="1:19">
      <c r="A59" s="32">
        <f t="shared" si="1"/>
        <v>34</v>
      </c>
      <c r="B59" s="966"/>
      <c r="C59" s="561"/>
      <c r="D59" s="562"/>
      <c r="E59" s="23"/>
      <c r="F59" s="29"/>
      <c r="G59" s="25"/>
    </row>
    <row r="60" spans="1:19">
      <c r="A60" s="32">
        <f t="shared" si="1"/>
        <v>35</v>
      </c>
      <c r="B60" s="966"/>
      <c r="C60" s="561"/>
      <c r="D60" s="562"/>
      <c r="E60" s="23"/>
      <c r="F60" s="29"/>
      <c r="G60" s="25"/>
    </row>
    <row r="61" spans="1:19">
      <c r="A61" s="32">
        <f t="shared" si="1"/>
        <v>36</v>
      </c>
      <c r="B61" s="966"/>
      <c r="C61" s="561"/>
      <c r="D61" s="562"/>
      <c r="E61" s="23"/>
      <c r="F61" s="29"/>
      <c r="G61" s="25"/>
    </row>
    <row r="62" spans="1:19">
      <c r="A62" s="32">
        <f t="shared" si="1"/>
        <v>37</v>
      </c>
      <c r="B62" s="966"/>
      <c r="C62" s="561"/>
      <c r="D62" s="562"/>
      <c r="E62" s="23"/>
      <c r="F62" s="29"/>
      <c r="G62" s="25"/>
    </row>
    <row r="63" spans="1:19">
      <c r="A63" s="32"/>
      <c r="B63" s="24"/>
      <c r="C63" s="25"/>
      <c r="D63" s="34"/>
      <c r="E63" s="35"/>
      <c r="F63" s="34"/>
      <c r="G63" s="25"/>
    </row>
    <row r="64" spans="1:19" ht="15.75">
      <c r="A64" s="32">
        <f>+A62+1</f>
        <v>38</v>
      </c>
      <c r="B64" s="30"/>
      <c r="C64" s="1255" t="s">
        <v>630</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966" t="s">
        <v>888</v>
      </c>
      <c r="C67" s="1409" t="s">
        <v>889</v>
      </c>
      <c r="D67" s="562">
        <v>4954.8765119696363</v>
      </c>
      <c r="E67" s="23">
        <f>D67</f>
        <v>4954.8765119696363</v>
      </c>
      <c r="F67" s="29">
        <v>0</v>
      </c>
      <c r="G67" s="12"/>
      <c r="H67" s="44"/>
      <c r="J67" s="14"/>
      <c r="K67" s="14"/>
    </row>
    <row r="68" spans="1:11">
      <c r="A68" s="32">
        <f>+A67+1</f>
        <v>40</v>
      </c>
      <c r="B68" s="966" t="s">
        <v>890</v>
      </c>
      <c r="C68" s="1409" t="s">
        <v>891</v>
      </c>
      <c r="D68" s="562">
        <v>1196.4838232749789</v>
      </c>
      <c r="E68" s="23">
        <f>D68</f>
        <v>1196.4838232749789</v>
      </c>
      <c r="F68" s="29">
        <v>0</v>
      </c>
      <c r="G68" s="12"/>
      <c r="H68" s="44"/>
      <c r="J68" s="14"/>
      <c r="K68" s="14"/>
    </row>
    <row r="69" spans="1:11">
      <c r="A69" s="32">
        <f>+A68+1</f>
        <v>41</v>
      </c>
      <c r="B69" s="1408" t="s">
        <v>912</v>
      </c>
      <c r="C69" s="1409" t="s">
        <v>917</v>
      </c>
      <c r="D69" s="562">
        <v>183.8857463299544</v>
      </c>
      <c r="E69" s="23">
        <f>D69</f>
        <v>183.8857463299544</v>
      </c>
      <c r="F69" s="29">
        <v>0</v>
      </c>
      <c r="G69" s="12"/>
      <c r="H69" s="44"/>
      <c r="J69" s="14"/>
      <c r="K69" s="14"/>
    </row>
    <row r="70" spans="1:11">
      <c r="A70" s="32">
        <f>+A69+1</f>
        <v>42</v>
      </c>
      <c r="B70" s="966" t="s">
        <v>892</v>
      </c>
      <c r="C70" s="1409" t="s">
        <v>893</v>
      </c>
      <c r="D70" s="562">
        <v>287.31901828636103</v>
      </c>
      <c r="E70" s="23">
        <f>F70-D70</f>
        <v>0</v>
      </c>
      <c r="F70" s="29">
        <f>D70</f>
        <v>287.31901828636103</v>
      </c>
      <c r="G70" s="20"/>
    </row>
    <row r="71" spans="1:11">
      <c r="A71" s="32"/>
      <c r="B71" s="20"/>
      <c r="C71" s="20"/>
      <c r="D71" s="20"/>
      <c r="E71" s="20"/>
      <c r="F71" s="20"/>
      <c r="G71" s="20"/>
    </row>
    <row r="72" spans="1:11" ht="15.75">
      <c r="A72" s="32">
        <f>+A70+1</f>
        <v>43</v>
      </c>
      <c r="B72" s="20"/>
      <c r="C72" s="1255" t="s">
        <v>631</v>
      </c>
      <c r="D72" s="36">
        <f>SUM(D67:D71)</f>
        <v>6622.5650998609308</v>
      </c>
      <c r="E72" s="36">
        <f>SUM(E67:E71)</f>
        <v>6335.2460815745699</v>
      </c>
      <c r="F72" s="36">
        <f>SUM(F67:F71)</f>
        <v>287.31901828636103</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5" t="s">
        <v>406</v>
      </c>
    </row>
    <row r="2" spans="1:15" ht="15.75">
      <c r="A2" s="1005" t="s">
        <v>406</v>
      </c>
    </row>
    <row r="3" spans="1:15" ht="15">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row>
    <row r="4" spans="1:15" ht="15">
      <c r="A4" s="1512" t="str">
        <f>"Cost of Service Formula Rate Using Actual/Projected FF1 Balances"</f>
        <v>Cost of Service Formula Rate Using Actual/Projected FF1 Balances</v>
      </c>
      <c r="B4" s="1512"/>
      <c r="C4" s="1512"/>
      <c r="D4" s="1512"/>
      <c r="E4" s="1512"/>
      <c r="F4" s="1512"/>
      <c r="G4" s="1512"/>
      <c r="H4" s="1512"/>
    </row>
    <row r="5" spans="1:15" ht="15">
      <c r="A5" s="1512" t="s">
        <v>328</v>
      </c>
      <c r="B5" s="1512"/>
      <c r="C5" s="1512"/>
      <c r="D5" s="1512"/>
      <c r="E5" s="1512"/>
      <c r="F5" s="1512"/>
      <c r="G5" s="1512"/>
      <c r="H5" s="1512"/>
    </row>
    <row r="6" spans="1:15" ht="15">
      <c r="A6" s="1513" t="str">
        <f>TCOS!F9</f>
        <v>AEP Appalachian Transmission Company</v>
      </c>
      <c r="B6" s="1513"/>
      <c r="C6" s="1513"/>
      <c r="D6" s="1513"/>
      <c r="E6" s="1513"/>
      <c r="F6" s="1513"/>
      <c r="G6" s="1513"/>
    </row>
    <row r="7" spans="1:15" ht="12.75" customHeight="1">
      <c r="A7" s="563"/>
      <c r="B7" s="564"/>
      <c r="C7" s="564"/>
      <c r="D7" s="564"/>
      <c r="E7" s="564"/>
      <c r="F7" s="564"/>
      <c r="G7" s="564"/>
      <c r="H7" s="564"/>
      <c r="I7" s="564"/>
      <c r="J7" s="564"/>
      <c r="O7" s="565"/>
    </row>
    <row r="8" spans="1:15" ht="12.75" customHeight="1">
      <c r="A8" s="563"/>
      <c r="B8" s="421"/>
      <c r="C8" s="394"/>
      <c r="D8" s="394"/>
      <c r="E8" s="394"/>
      <c r="F8" s="394"/>
    </row>
    <row r="9" spans="1:15" ht="15">
      <c r="A9" s="566">
        <v>1</v>
      </c>
      <c r="B9" s="577" t="s">
        <v>804</v>
      </c>
      <c r="C9" s="568"/>
      <c r="D9" s="569"/>
      <c r="E9" s="575">
        <v>6.5000000000000002E-2</v>
      </c>
      <c r="F9" s="394"/>
      <c r="G9" s="570"/>
      <c r="H9" s="570"/>
      <c r="L9" s="571"/>
    </row>
    <row r="10" spans="1:15" ht="15">
      <c r="A10" s="571"/>
      <c r="B10" s="567" t="s">
        <v>617</v>
      </c>
      <c r="C10" s="568"/>
      <c r="D10" s="568"/>
      <c r="E10" s="576">
        <v>0.99890000000000001</v>
      </c>
      <c r="F10" s="394"/>
      <c r="G10" s="570"/>
      <c r="H10" s="570"/>
      <c r="L10" s="571"/>
    </row>
    <row r="11" spans="1:15" ht="15">
      <c r="A11" s="571"/>
      <c r="B11" s="567" t="s">
        <v>228</v>
      </c>
      <c r="C11" s="568"/>
      <c r="D11" s="568"/>
      <c r="E11" s="393"/>
      <c r="F11" s="572">
        <f>ROUND(E9*E10,4)</f>
        <v>6.4899999999999999E-2</v>
      </c>
      <c r="G11" s="570"/>
      <c r="L11" s="571"/>
    </row>
    <row r="12" spans="1:15" ht="15">
      <c r="A12" s="571"/>
      <c r="B12" s="567"/>
      <c r="C12" s="568"/>
      <c r="D12" s="568"/>
      <c r="E12" s="393"/>
      <c r="F12" s="572"/>
      <c r="G12" s="570"/>
      <c r="L12" s="571"/>
    </row>
    <row r="13" spans="1:15" ht="15">
      <c r="A13" s="571">
        <f>A9+1</f>
        <v>2</v>
      </c>
      <c r="B13" s="577" t="s">
        <v>805</v>
      </c>
      <c r="C13" s="568"/>
      <c r="D13" s="569"/>
      <c r="E13" s="575">
        <v>0.06</v>
      </c>
      <c r="F13" s="394"/>
      <c r="G13" s="570"/>
      <c r="L13" s="571"/>
    </row>
    <row r="14" spans="1:15" ht="15">
      <c r="A14" s="571"/>
      <c r="B14" s="567" t="s">
        <v>617</v>
      </c>
      <c r="C14" s="568"/>
      <c r="D14" s="568"/>
      <c r="E14" s="576">
        <v>3.3999999999999998E-3</v>
      </c>
      <c r="F14" s="394"/>
      <c r="G14" s="570"/>
      <c r="L14" s="571"/>
    </row>
    <row r="15" spans="1:15" ht="15">
      <c r="A15" s="571"/>
      <c r="B15" s="567" t="s">
        <v>228</v>
      </c>
      <c r="C15" s="568"/>
      <c r="D15" s="568"/>
      <c r="E15" s="393"/>
      <c r="F15" s="572">
        <f>ROUND(E13*E14,4)</f>
        <v>2.0000000000000001E-4</v>
      </c>
      <c r="G15" s="570"/>
      <c r="L15" s="571"/>
    </row>
    <row r="16" spans="1:15" ht="15">
      <c r="A16" s="571"/>
      <c r="B16" s="567"/>
      <c r="C16" s="568"/>
      <c r="D16" s="568"/>
      <c r="E16" s="393"/>
      <c r="F16" s="572"/>
      <c r="G16" s="570"/>
      <c r="L16" s="571"/>
    </row>
    <row r="17" spans="1:12" ht="15">
      <c r="A17" s="571">
        <f>A13+1</f>
        <v>3</v>
      </c>
      <c r="B17" s="577" t="s">
        <v>105</v>
      </c>
      <c r="C17" s="568"/>
      <c r="D17" s="569"/>
      <c r="E17" s="575"/>
      <c r="F17" s="394"/>
      <c r="G17" s="570"/>
      <c r="L17" s="571"/>
    </row>
    <row r="18" spans="1:12" ht="15">
      <c r="A18" s="571"/>
      <c r="B18" s="567" t="s">
        <v>617</v>
      </c>
      <c r="C18" s="568"/>
      <c r="D18" s="568"/>
      <c r="E18" s="576"/>
      <c r="F18" s="394"/>
      <c r="G18" s="570"/>
      <c r="L18" s="571"/>
    </row>
    <row r="19" spans="1:12" ht="15">
      <c r="A19" s="571"/>
      <c r="B19" s="567" t="s">
        <v>228</v>
      </c>
      <c r="C19" s="568"/>
      <c r="D19" s="568"/>
      <c r="E19" s="393"/>
      <c r="F19" s="572">
        <f>ROUND(E17*E18,4)</f>
        <v>0</v>
      </c>
      <c r="G19" s="570"/>
      <c r="L19" s="571"/>
    </row>
    <row r="20" spans="1:12" ht="15">
      <c r="A20" s="571"/>
      <c r="B20" s="567"/>
      <c r="C20" s="568"/>
      <c r="D20" s="568"/>
      <c r="E20" s="393"/>
      <c r="F20" s="572"/>
      <c r="G20" s="570"/>
      <c r="L20" s="571"/>
    </row>
    <row r="21" spans="1:12" ht="15">
      <c r="A21" s="571">
        <f>A17+1</f>
        <v>4</v>
      </c>
      <c r="B21" s="577" t="s">
        <v>105</v>
      </c>
      <c r="C21" s="568"/>
      <c r="D21" s="569"/>
      <c r="E21" s="575"/>
      <c r="F21" s="394"/>
      <c r="G21" s="570"/>
      <c r="L21" s="571"/>
    </row>
    <row r="22" spans="1:12" ht="15">
      <c r="A22" s="571"/>
      <c r="B22" s="567" t="s">
        <v>617</v>
      </c>
      <c r="C22" s="568"/>
      <c r="D22" s="568"/>
      <c r="E22" s="576"/>
      <c r="F22" s="394"/>
      <c r="G22" s="570"/>
      <c r="L22" s="571"/>
    </row>
    <row r="23" spans="1:12" ht="15">
      <c r="A23" s="571"/>
      <c r="B23" s="567" t="s">
        <v>228</v>
      </c>
      <c r="C23" s="568"/>
      <c r="D23" s="568"/>
      <c r="E23" s="393"/>
      <c r="F23" s="572">
        <f>ROUND(E21*E22,4)</f>
        <v>0</v>
      </c>
      <c r="G23" s="570"/>
      <c r="L23" s="571"/>
    </row>
    <row r="24" spans="1:12" ht="15">
      <c r="A24" s="571"/>
      <c r="B24" s="567"/>
      <c r="C24" s="568"/>
      <c r="D24" s="568"/>
      <c r="E24" s="393"/>
      <c r="F24" s="572"/>
      <c r="G24" s="570"/>
      <c r="L24" s="571"/>
    </row>
    <row r="25" spans="1:12" ht="15">
      <c r="A25" s="571">
        <f>A21+1</f>
        <v>5</v>
      </c>
      <c r="B25" s="577" t="s">
        <v>105</v>
      </c>
      <c r="C25" s="568"/>
      <c r="D25" s="569"/>
      <c r="E25" s="575"/>
      <c r="F25" s="573"/>
      <c r="G25" s="570"/>
      <c r="L25" s="571"/>
    </row>
    <row r="26" spans="1:12" ht="15">
      <c r="A26" s="571"/>
      <c r="B26" s="567" t="s">
        <v>617</v>
      </c>
      <c r="C26" s="568"/>
      <c r="D26" s="568"/>
      <c r="E26" s="576"/>
      <c r="F26" s="573"/>
      <c r="G26" s="570"/>
      <c r="L26" s="571"/>
    </row>
    <row r="27" spans="1:12" ht="15">
      <c r="A27" s="571"/>
      <c r="B27" s="567" t="s">
        <v>228</v>
      </c>
      <c r="C27" s="568"/>
      <c r="D27" s="568"/>
      <c r="E27" s="393"/>
      <c r="F27" s="572">
        <f>ROUND(E25*E26,4)</f>
        <v>0</v>
      </c>
      <c r="G27" s="570"/>
      <c r="L27" s="571"/>
    </row>
    <row r="28" spans="1:12" ht="15">
      <c r="A28" s="571"/>
      <c r="B28" s="567"/>
      <c r="C28" s="568"/>
      <c r="D28" s="568"/>
      <c r="E28" s="568"/>
      <c r="F28" s="573"/>
      <c r="G28" s="570"/>
      <c r="L28" s="571"/>
    </row>
    <row r="29" spans="1:12" ht="15.75" thickBot="1">
      <c r="A29" s="571"/>
      <c r="B29" s="393" t="s">
        <v>485</v>
      </c>
      <c r="C29" s="393"/>
      <c r="D29" s="393"/>
      <c r="E29" s="393"/>
      <c r="F29" s="574">
        <f>ROUND(SUM(F11:F28),4)</f>
        <v>6.5100000000000005E-2</v>
      </c>
      <c r="G29" s="570"/>
      <c r="L29" s="571"/>
    </row>
    <row r="30" spans="1:12" ht="13.5" thickTop="1">
      <c r="A30" s="571"/>
      <c r="G30" s="392"/>
      <c r="L30" s="571"/>
    </row>
    <row r="31" spans="1:12">
      <c r="A31" s="571"/>
      <c r="G31" s="392"/>
      <c r="H31" s="392"/>
      <c r="L31" s="571"/>
    </row>
    <row r="32" spans="1:12">
      <c r="A32" s="571"/>
      <c r="G32" s="392"/>
      <c r="H32" s="392"/>
      <c r="L32" s="571"/>
    </row>
    <row r="33" spans="1:12" ht="12.75" customHeight="1">
      <c r="A33" s="571"/>
      <c r="C33" s="393"/>
      <c r="D33" s="393"/>
      <c r="E33" s="393"/>
      <c r="F33" s="393"/>
      <c r="G33" s="392"/>
      <c r="H33" s="392"/>
      <c r="L33" s="571"/>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16" zoomScale="70" zoomScaleNormal="70" zoomScalePageLayoutView="50" workbookViewId="0">
      <selection activeCell="D47" sqref="D47"/>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5" t="s">
        <v>406</v>
      </c>
    </row>
    <row r="2" spans="1:29" ht="15.75">
      <c r="A2" s="1005" t="s">
        <v>406</v>
      </c>
    </row>
    <row r="3" spans="1:29" ht="18.75" customHeight="1">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c r="I3" s="1484" t="str">
        <f>TCOS!$F$5</f>
        <v>AEPTCo subsidiaries in PJM</v>
      </c>
      <c r="J3" s="1484" t="str">
        <f>TCOS!$F$5</f>
        <v>AEPTCo subsidiaries in PJM</v>
      </c>
      <c r="K3" s="1484" t="str">
        <f>TCOS!$F$5</f>
        <v>AEPTCo subsidiaries in PJM</v>
      </c>
      <c r="L3" s="1484" t="str">
        <f>TCOS!$F$5</f>
        <v>AEPTCo subsidiaries in PJM</v>
      </c>
      <c r="M3" s="1484" t="str">
        <f>TCOS!$F$5</f>
        <v>AEPTCo subsidiaries in PJM</v>
      </c>
    </row>
    <row r="4" spans="1:29" ht="18.75" customHeight="1">
      <c r="A4" s="1512" t="str">
        <f>"Cost of Service Formula Rate Using Actual/Projected FF1 Balances"</f>
        <v>Cost of Service Formula Rate Using Actual/Projected FF1 Balances</v>
      </c>
      <c r="B4" s="1512"/>
      <c r="C4" s="1512"/>
      <c r="D4" s="1512"/>
      <c r="E4" s="1512"/>
      <c r="F4" s="1512"/>
      <c r="G4" s="1512"/>
      <c r="H4" s="1512"/>
      <c r="I4" s="1512"/>
      <c r="J4" s="1512"/>
      <c r="K4" s="1512"/>
      <c r="L4" s="1512"/>
      <c r="M4" s="1512"/>
    </row>
    <row r="5" spans="1:29" ht="18.75" customHeight="1">
      <c r="A5" s="1512" t="s">
        <v>247</v>
      </c>
      <c r="B5" s="1512"/>
      <c r="C5" s="1512"/>
      <c r="D5" s="1512"/>
      <c r="E5" s="1512"/>
      <c r="F5" s="1512"/>
      <c r="G5" s="1512"/>
      <c r="H5" s="1512"/>
      <c r="I5" s="1512"/>
      <c r="J5" s="1512"/>
      <c r="K5" s="1512"/>
      <c r="L5" s="1512"/>
      <c r="M5" s="1512"/>
    </row>
    <row r="6" spans="1:29" ht="18.75" customHeight="1">
      <c r="A6" s="1528" t="str">
        <f>TCOS!F9</f>
        <v>AEP Appalachian Transmission Company</v>
      </c>
      <c r="B6" s="1528"/>
      <c r="C6" s="1528"/>
      <c r="D6" s="1528"/>
      <c r="E6" s="1528"/>
      <c r="F6" s="1528"/>
      <c r="G6" s="1528"/>
      <c r="H6" s="1528"/>
      <c r="I6" s="1528"/>
      <c r="J6" s="1528"/>
      <c r="K6" s="1528"/>
      <c r="L6" s="1528"/>
      <c r="M6" s="1528"/>
    </row>
    <row r="7" spans="1:29" ht="18" customHeight="1">
      <c r="A7" s="1513"/>
      <c r="B7" s="1513"/>
      <c r="C7" s="1513"/>
      <c r="D7" s="1513"/>
      <c r="E7" s="1513"/>
      <c r="F7" s="1513"/>
      <c r="G7" s="1513"/>
      <c r="H7" s="1513"/>
      <c r="I7" s="1513"/>
      <c r="J7" s="1513"/>
      <c r="K7" s="1513"/>
      <c r="L7" s="1513"/>
      <c r="M7" s="1513"/>
    </row>
    <row r="8" spans="1:29" ht="18" customHeight="1">
      <c r="A8" s="1524"/>
      <c r="B8" s="1524"/>
      <c r="C8" s="1524"/>
      <c r="D8" s="1524"/>
      <c r="E8" s="1524"/>
      <c r="F8" s="1524"/>
      <c r="G8" s="1524"/>
      <c r="H8" s="1524"/>
      <c r="I8" s="1524"/>
      <c r="J8" s="1524"/>
      <c r="K8" s="1524"/>
      <c r="L8" s="1524"/>
      <c r="M8" s="1524"/>
    </row>
    <row r="9" spans="1:29" ht="18" customHeight="1">
      <c r="A9" s="521"/>
      <c r="B9" s="521"/>
      <c r="C9" s="521"/>
      <c r="D9" s="521"/>
      <c r="E9" s="521"/>
      <c r="F9" s="521"/>
      <c r="G9" s="521"/>
      <c r="H9" s="521"/>
      <c r="I9" s="521"/>
      <c r="J9" s="521"/>
      <c r="K9" s="521"/>
      <c r="L9" s="521"/>
      <c r="M9" s="521"/>
    </row>
    <row r="10" spans="1:29" ht="19.5" customHeight="1">
      <c r="A10" s="580"/>
      <c r="B10" s="581"/>
      <c r="C10" s="582" t="s">
        <v>452</v>
      </c>
      <c r="E10" s="582" t="s">
        <v>453</v>
      </c>
      <c r="G10" s="582" t="s">
        <v>454</v>
      </c>
      <c r="I10" s="582" t="s">
        <v>455</v>
      </c>
      <c r="K10" s="582" t="s">
        <v>375</v>
      </c>
      <c r="M10" s="582" t="s">
        <v>376</v>
      </c>
    </row>
    <row r="11" spans="1:29" ht="18">
      <c r="A11" s="584"/>
      <c r="B11" s="585"/>
      <c r="C11" s="585"/>
      <c r="D11" s="585"/>
      <c r="E11" s="173"/>
      <c r="F11" s="173"/>
      <c r="G11" s="173"/>
      <c r="H11" s="173"/>
      <c r="I11" s="173"/>
      <c r="J11" s="173"/>
      <c r="K11" s="173"/>
      <c r="L11" s="173"/>
      <c r="M11" s="173"/>
      <c r="Q11" s="421"/>
      <c r="R11" s="421"/>
      <c r="S11" s="421"/>
      <c r="T11" s="421"/>
      <c r="U11" s="421"/>
      <c r="V11" s="421"/>
      <c r="W11" s="421"/>
      <c r="X11" s="421"/>
      <c r="Y11" s="421"/>
      <c r="Z11" s="421"/>
      <c r="AA11" s="421"/>
      <c r="AB11" s="421"/>
      <c r="AC11" s="421"/>
    </row>
    <row r="12" spans="1:29" ht="19.5">
      <c r="A12" s="584" t="s">
        <v>459</v>
      </c>
      <c r="B12" s="585"/>
      <c r="C12" s="585"/>
      <c r="D12" s="585"/>
      <c r="E12" s="586" t="s">
        <v>410</v>
      </c>
      <c r="F12" s="584"/>
      <c r="G12" s="584"/>
      <c r="H12" s="584"/>
      <c r="I12" s="584"/>
      <c r="J12" s="584"/>
      <c r="K12" s="587"/>
      <c r="L12" s="587"/>
      <c r="M12" s="588"/>
    </row>
    <row r="13" spans="1:29" ht="19.5">
      <c r="A13" s="589" t="s">
        <v>409</v>
      </c>
      <c r="B13" s="585"/>
      <c r="C13" s="589" t="s">
        <v>102</v>
      </c>
      <c r="D13" s="585"/>
      <c r="E13" s="590" t="s">
        <v>473</v>
      </c>
      <c r="F13" s="584"/>
      <c r="G13" s="589" t="s">
        <v>106</v>
      </c>
      <c r="H13" s="584"/>
      <c r="I13" s="589" t="s">
        <v>451</v>
      </c>
      <c r="J13" s="584"/>
      <c r="K13" s="591" t="s">
        <v>471</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0</v>
      </c>
      <c r="F17" s="595"/>
      <c r="G17" s="600"/>
      <c r="H17" s="600"/>
      <c r="I17" s="600"/>
      <c r="J17" s="600"/>
      <c r="K17" s="600"/>
      <c r="L17" s="600"/>
      <c r="M17" s="601">
        <f>+E17</f>
        <v>0</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609</v>
      </c>
      <c r="D20" s="597"/>
      <c r="E20" s="602">
        <f>'WS H-p2 Detail of Tax Amts'!E23</f>
        <v>0</v>
      </c>
      <c r="F20" s="597"/>
      <c r="G20" s="600">
        <f>+E20</f>
        <v>0</v>
      </c>
      <c r="H20" s="600"/>
      <c r="I20" s="600"/>
      <c r="J20" s="600"/>
      <c r="K20" s="600"/>
      <c r="L20" s="600"/>
      <c r="M20" s="601"/>
      <c r="O20" s="173"/>
    </row>
    <row r="21" spans="1:15" ht="19.5">
      <c r="A21" s="580">
        <f>+A20+1</f>
        <v>5</v>
      </c>
      <c r="B21" s="581"/>
      <c r="C21" s="597" t="s">
        <v>610</v>
      </c>
      <c r="D21" s="597"/>
      <c r="E21" s="602">
        <f>'WS H-p2 Detail of Tax Amts'!E30</f>
        <v>484.83245681156234</v>
      </c>
      <c r="F21" s="597"/>
      <c r="G21" s="600">
        <f>+E21</f>
        <v>484.83245681156234</v>
      </c>
      <c r="H21" s="600"/>
      <c r="I21" s="600"/>
      <c r="J21" s="600"/>
      <c r="K21" s="600"/>
      <c r="L21" s="600"/>
      <c r="M21" s="601"/>
      <c r="O21" s="173"/>
    </row>
    <row r="22" spans="1:15" ht="19.5">
      <c r="A22" s="580">
        <f>+A21+1</f>
        <v>6</v>
      </c>
      <c r="B22" s="581"/>
      <c r="C22" s="597" t="s">
        <v>611</v>
      </c>
      <c r="D22" s="597"/>
      <c r="E22" s="602">
        <f>'WS H-p2 Detail of Tax Amts'!E37</f>
        <v>873515.16754318739</v>
      </c>
      <c r="F22" s="597"/>
      <c r="G22" s="600">
        <f>+E22</f>
        <v>873515.16754318739</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406</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314225</v>
      </c>
      <c r="F36" s="595"/>
      <c r="G36" s="620"/>
      <c r="H36" s="620"/>
      <c r="I36" s="620"/>
      <c r="J36" s="620"/>
      <c r="K36" s="601">
        <f>+E36</f>
        <v>314225</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398</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1188224.9999999991</v>
      </c>
      <c r="F43" s="595"/>
      <c r="G43" s="625">
        <f>SUM(G17:G41)</f>
        <v>873999.99999999895</v>
      </c>
      <c r="H43" s="621"/>
      <c r="I43" s="625">
        <f>SUM(I17:I41)</f>
        <v>0</v>
      </c>
      <c r="J43" s="622"/>
      <c r="K43" s="625">
        <f>SUM(K17:K41)</f>
        <v>314225</v>
      </c>
      <c r="L43" s="623"/>
      <c r="M43" s="625">
        <f>SUM(M17:M41)</f>
        <v>0</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27" t="s">
        <v>242</v>
      </c>
      <c r="D46" s="1527"/>
      <c r="E46" s="1527"/>
      <c r="F46" s="1527"/>
      <c r="G46" s="1527"/>
      <c r="H46" s="1527"/>
      <c r="I46" s="1527"/>
      <c r="J46" s="1527"/>
      <c r="K46" s="1527"/>
      <c r="L46" s="1527"/>
      <c r="M46" s="1527"/>
    </row>
    <row r="47" spans="1:13" ht="78">
      <c r="A47" s="580"/>
      <c r="C47" s="595"/>
      <c r="D47" s="595"/>
      <c r="E47" s="626" t="s">
        <v>313</v>
      </c>
      <c r="G47" s="627" t="s">
        <v>407</v>
      </c>
      <c r="H47" s="627"/>
      <c r="I47" s="626" t="s">
        <v>314</v>
      </c>
      <c r="J47" s="627"/>
      <c r="K47" s="627" t="s">
        <v>128</v>
      </c>
      <c r="L47" s="627"/>
      <c r="M47" s="627" t="s">
        <v>410</v>
      </c>
    </row>
    <row r="48" spans="1:13" ht="19.5">
      <c r="A48" s="628">
        <f>+A43+1</f>
        <v>24</v>
      </c>
      <c r="B48" s="629"/>
      <c r="C48" s="630" t="str">
        <f>"Functionalized Net Plant (TCOS, Lns "&amp;TCOS!B79&amp;" thru "&amp;TCOS!B82&amp;")"</f>
        <v>Functionalized Net Plant (TCOS, Lns 33 thru 36)</v>
      </c>
      <c r="D48" s="616"/>
      <c r="E48" s="631">
        <v>0</v>
      </c>
      <c r="F48" s="630"/>
      <c r="G48" s="631">
        <f>+TCOS!G79</f>
        <v>135759268.2224353</v>
      </c>
      <c r="H48" s="630"/>
      <c r="I48" s="631">
        <v>0</v>
      </c>
      <c r="J48" s="630"/>
      <c r="K48" s="632">
        <f>+TCOS!G80</f>
        <v>713365.4758235442</v>
      </c>
      <c r="L48" s="616"/>
      <c r="M48" s="633">
        <f>SUM(E48:K48)</f>
        <v>136472633.69825885</v>
      </c>
    </row>
    <row r="49" spans="1:21" ht="19.5">
      <c r="A49" s="628"/>
      <c r="B49" s="629"/>
      <c r="C49" s="587" t="s">
        <v>612</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c r="H50" s="637"/>
      <c r="I50" s="651"/>
      <c r="J50" s="637"/>
      <c r="K50" s="651"/>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0</v>
      </c>
      <c r="H51" s="616"/>
      <c r="I51" s="633">
        <f>+I48*I50</f>
        <v>0</v>
      </c>
      <c r="J51" s="616"/>
      <c r="K51" s="633">
        <f>+K48*K50</f>
        <v>0</v>
      </c>
      <c r="L51" s="616"/>
      <c r="M51" s="633">
        <f>SUM(E51:K51)</f>
        <v>0</v>
      </c>
      <c r="O51" s="173"/>
    </row>
    <row r="52" spans="1:21" ht="19.5">
      <c r="A52" s="628">
        <f t="shared" si="1"/>
        <v>27</v>
      </c>
      <c r="B52" s="629"/>
      <c r="C52" s="630" t="s">
        <v>541</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0</v>
      </c>
      <c r="H53" s="616"/>
      <c r="I53" s="633">
        <f>+I51-I52</f>
        <v>0</v>
      </c>
      <c r="J53" s="616"/>
      <c r="K53" s="633">
        <f>+K51-K52</f>
        <v>0</v>
      </c>
      <c r="L53" s="616"/>
      <c r="M53" s="633">
        <f>SUM(E53:K53)</f>
        <v>0</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613</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135759268.2224353</v>
      </c>
      <c r="H61" s="616"/>
      <c r="I61" s="633">
        <f>+I48-I51</f>
        <v>0</v>
      </c>
      <c r="J61" s="616"/>
      <c r="K61" s="633">
        <f>+K48-K51</f>
        <v>713365.4758235442</v>
      </c>
      <c r="L61" s="616"/>
      <c r="M61" s="633">
        <f>SUM(E61:K61)</f>
        <v>136472633.69825885</v>
      </c>
      <c r="O61" s="173"/>
    </row>
    <row r="62" spans="1:21" ht="19.5">
      <c r="A62" s="628">
        <f t="shared" ref="A62:A68" si="2">+A61+1</f>
        <v>36</v>
      </c>
      <c r="B62" s="629"/>
      <c r="C62" s="630" t="s">
        <v>540</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135759268.2224353</v>
      </c>
      <c r="H63" s="616"/>
      <c r="I63" s="633">
        <f>+I61-I62</f>
        <v>0</v>
      </c>
      <c r="J63" s="616"/>
      <c r="K63" s="633">
        <f>+K61-K62</f>
        <v>713365.4758235442</v>
      </c>
      <c r="L63" s="616"/>
      <c r="M63" s="633">
        <f>SUM(E63:K63)</f>
        <v>136472633.69825885</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70"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topLeftCell="A63" zoomScale="60" zoomScaleNormal="60" workbookViewId="0">
      <selection activeCell="F99" sqref="F99"/>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5" t="s">
        <v>406</v>
      </c>
      <c r="B1" s="72" t="s">
        <v>406</v>
      </c>
    </row>
    <row r="2" spans="1:20" ht="15.75">
      <c r="A2" s="1005" t="s">
        <v>406</v>
      </c>
    </row>
    <row r="3" spans="1:20" ht="18.75" customHeight="1">
      <c r="A3" s="1492" t="str">
        <f>TCOS!$F$5</f>
        <v>AEPTCo subsidiaries in PJM</v>
      </c>
      <c r="B3" s="1492" t="str">
        <f>TCOS!$F$5</f>
        <v>AEPTCo subsidiaries in PJM</v>
      </c>
      <c r="C3" s="1492" t="str">
        <f>TCOS!$F$5</f>
        <v>AEPTCo subsidiaries in PJM</v>
      </c>
      <c r="D3" s="1492" t="str">
        <f>TCOS!$F$5</f>
        <v>AEPTCo subsidiaries in PJM</v>
      </c>
      <c r="E3" s="1492" t="str">
        <f>TCOS!$F$5</f>
        <v>AEPTCo subsidiaries in PJM</v>
      </c>
      <c r="F3" s="1530"/>
      <c r="G3" s="1530"/>
    </row>
    <row r="4" spans="1:20" ht="18.75" customHeight="1">
      <c r="A4" s="1492" t="str">
        <f>"Cost of Service Formula Rate Using Actual/Projected FF1 Balances"</f>
        <v>Cost of Service Formula Rate Using Actual/Projected FF1 Balances</v>
      </c>
      <c r="B4" s="1492"/>
      <c r="C4" s="1492"/>
      <c r="D4" s="1492"/>
      <c r="E4" s="1492"/>
      <c r="F4" s="1530"/>
      <c r="G4" s="1530"/>
      <c r="H4" s="1492"/>
      <c r="I4" s="1492"/>
      <c r="J4" s="1492"/>
      <c r="K4" s="1492"/>
      <c r="L4" s="1492"/>
      <c r="M4" s="1530"/>
    </row>
    <row r="5" spans="1:20" ht="18.75" customHeight="1">
      <c r="A5" s="1485" t="s">
        <v>246</v>
      </c>
      <c r="B5" s="1485"/>
      <c r="C5" s="1485"/>
      <c r="D5" s="1485"/>
      <c r="E5" s="1485"/>
      <c r="F5" s="1530"/>
      <c r="G5" s="1530"/>
    </row>
    <row r="6" spans="1:20" ht="18" customHeight="1">
      <c r="A6" s="1532" t="str">
        <f>+TCOS!F9</f>
        <v>AEP Appalachian Transmission Company</v>
      </c>
      <c r="B6" s="1532"/>
      <c r="C6" s="1532"/>
      <c r="D6" s="1532"/>
      <c r="E6" s="1532"/>
      <c r="F6" s="1533"/>
      <c r="G6" s="1533"/>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2">
        <v>0</v>
      </c>
      <c r="G15" s="124"/>
    </row>
    <row r="16" spans="1:20" ht="19.5">
      <c r="A16" s="61"/>
      <c r="B16" s="62"/>
      <c r="C16" s="57"/>
      <c r="D16" s="62"/>
      <c r="E16" s="123"/>
      <c r="F16" s="652"/>
      <c r="G16" s="124"/>
    </row>
    <row r="17" spans="1:9" ht="19.5">
      <c r="A17" s="61"/>
      <c r="B17" s="62"/>
      <c r="C17" s="57"/>
      <c r="D17" s="62"/>
      <c r="E17" s="123"/>
      <c r="F17" s="1068"/>
      <c r="G17" s="124"/>
    </row>
    <row r="18" spans="1:9" ht="19.5">
      <c r="A18" s="1071"/>
      <c r="B18" s="1072"/>
      <c r="C18" s="1009"/>
      <c r="D18" s="1072"/>
      <c r="E18" s="1008"/>
      <c r="F18" s="1007"/>
      <c r="G18" s="1006"/>
      <c r="H18" s="1010"/>
      <c r="I18" s="1010"/>
    </row>
    <row r="19" spans="1:9" ht="18">
      <c r="A19" s="1256"/>
      <c r="B19" s="1257"/>
      <c r="C19" s="1259" t="s">
        <v>452</v>
      </c>
      <c r="D19" s="1259" t="s">
        <v>453</v>
      </c>
      <c r="E19" s="1260" t="s">
        <v>454</v>
      </c>
      <c r="F19" s="1260" t="s">
        <v>455</v>
      </c>
      <c r="G19" s="1260" t="s">
        <v>375</v>
      </c>
      <c r="H19" s="1261" t="s">
        <v>376</v>
      </c>
      <c r="I19" s="1260" t="s">
        <v>377</v>
      </c>
    </row>
    <row r="20" spans="1:9" ht="47.25">
      <c r="A20" s="1256"/>
      <c r="B20" s="1257"/>
      <c r="C20" s="1262" t="s">
        <v>696</v>
      </c>
      <c r="D20" s="1263" t="s">
        <v>692</v>
      </c>
      <c r="E20" s="1264" t="s">
        <v>693</v>
      </c>
      <c r="F20" s="1264" t="s">
        <v>694</v>
      </c>
      <c r="G20" s="1264" t="s">
        <v>4</v>
      </c>
      <c r="H20" s="1265" t="s">
        <v>695</v>
      </c>
      <c r="I20" s="1265" t="s">
        <v>697</v>
      </c>
    </row>
    <row r="21" spans="1:9" ht="19.5">
      <c r="A21" s="1256"/>
      <c r="B21" s="1257"/>
      <c r="C21" s="70"/>
      <c r="D21" s="1257"/>
      <c r="E21" s="128"/>
      <c r="F21" s="1013"/>
      <c r="G21" s="122"/>
      <c r="H21" s="122"/>
      <c r="I21" s="122"/>
    </row>
    <row r="22" spans="1:9" ht="58.5">
      <c r="A22" s="1256">
        <f>+A14+1</f>
        <v>3</v>
      </c>
      <c r="B22" s="1257"/>
      <c r="C22" s="1258" t="str">
        <f>"Real Estate and Personal Property Taxes Total
 (Ln "&amp;A23&amp;" + Ln "&amp;A30 &amp;" + Ln "&amp;A37&amp;" + Ln "&amp;A40&amp;")"</f>
        <v>Real Estate and Personal Property Taxes Total
 (Ln 4 + Ln 5 + Ln 6 + Ln 7)</v>
      </c>
      <c r="D22" s="1257"/>
      <c r="E22" s="1074">
        <f>E23+E30+E37+E40</f>
        <v>873999.99999999895</v>
      </c>
      <c r="F22" s="128"/>
      <c r="G22" s="70"/>
      <c r="H22" s="122"/>
      <c r="I22" s="1074">
        <f>I23+I30+I37+I40</f>
        <v>873999.99999999895</v>
      </c>
    </row>
    <row r="23" spans="1:9" ht="19.5">
      <c r="A23" s="61">
        <f>+A22+1</f>
        <v>4</v>
      </c>
      <c r="B23" s="62"/>
      <c r="C23" s="60" t="s">
        <v>609</v>
      </c>
      <c r="D23" s="60"/>
      <c r="E23" s="128">
        <f>SUM(F24:F29)</f>
        <v>0</v>
      </c>
      <c r="F23" s="123"/>
      <c r="G23" s="70"/>
      <c r="I23" s="128">
        <f>SUM(I24:I29)</f>
        <v>0</v>
      </c>
    </row>
    <row r="24" spans="1:9" ht="19.5">
      <c r="A24" s="61"/>
      <c r="B24" s="62"/>
      <c r="C24" s="60"/>
      <c r="D24" s="60"/>
      <c r="E24" s="128"/>
      <c r="F24" s="1070">
        <v>0</v>
      </c>
      <c r="G24" s="1015"/>
      <c r="H24" s="1014"/>
      <c r="I24" s="1013">
        <f t="shared" ref="I24:I29" si="0">F24*H24</f>
        <v>0</v>
      </c>
    </row>
    <row r="25" spans="1:9" ht="19.5">
      <c r="A25" s="61"/>
      <c r="B25" s="62"/>
      <c r="C25" s="60"/>
      <c r="D25" s="60"/>
      <c r="E25" s="128"/>
      <c r="F25" s="652"/>
      <c r="G25" s="1015"/>
      <c r="H25" s="1070"/>
      <c r="I25" s="1013">
        <f t="shared" si="0"/>
        <v>0</v>
      </c>
    </row>
    <row r="26" spans="1:9" ht="19.5">
      <c r="A26" s="61"/>
      <c r="B26" s="62"/>
      <c r="C26" s="60"/>
      <c r="D26" s="60"/>
      <c r="E26" s="128"/>
      <c r="F26" s="652"/>
      <c r="G26" s="1015"/>
      <c r="H26" s="1070"/>
      <c r="I26" s="1013">
        <f t="shared" si="0"/>
        <v>0</v>
      </c>
    </row>
    <row r="27" spans="1:9" ht="19.5">
      <c r="A27" s="61"/>
      <c r="B27" s="62"/>
      <c r="C27" s="60"/>
      <c r="D27" s="60"/>
      <c r="E27" s="128"/>
      <c r="F27" s="652"/>
      <c r="G27" s="1015"/>
      <c r="H27" s="1070"/>
      <c r="I27" s="1013">
        <f t="shared" si="0"/>
        <v>0</v>
      </c>
    </row>
    <row r="28" spans="1:9" ht="19.5">
      <c r="A28" s="61"/>
      <c r="B28" s="62"/>
      <c r="C28" s="60"/>
      <c r="D28" s="60"/>
      <c r="E28" s="128"/>
      <c r="F28" s="652"/>
      <c r="G28" s="1015"/>
      <c r="H28" s="1070"/>
      <c r="I28" s="1013">
        <f t="shared" si="0"/>
        <v>0</v>
      </c>
    </row>
    <row r="29" spans="1:9" ht="19.5">
      <c r="A29" s="61"/>
      <c r="B29" s="62"/>
      <c r="C29" s="60"/>
      <c r="D29" s="60"/>
      <c r="E29" s="128"/>
      <c r="F29" s="652"/>
      <c r="G29" s="1015"/>
      <c r="H29" s="1070"/>
      <c r="I29" s="1013">
        <f t="shared" si="0"/>
        <v>0</v>
      </c>
    </row>
    <row r="30" spans="1:9" ht="19.5">
      <c r="A30" s="61">
        <f>+A23+1</f>
        <v>5</v>
      </c>
      <c r="B30" s="62"/>
      <c r="C30" s="60" t="s">
        <v>610</v>
      </c>
      <c r="D30" s="60"/>
      <c r="E30" s="128">
        <f>SUM(F31:F36)</f>
        <v>484.83245681156234</v>
      </c>
      <c r="F30" s="80"/>
      <c r="G30" s="70"/>
      <c r="I30" s="1069">
        <f>SUM(I31:I36)</f>
        <v>484.83245681156234</v>
      </c>
    </row>
    <row r="31" spans="1:9" ht="19.5">
      <c r="A31" s="61"/>
      <c r="B31" s="62"/>
      <c r="C31" s="60"/>
      <c r="D31" s="60"/>
      <c r="E31" s="128"/>
      <c r="F31" s="1070">
        <v>484.83245681156234</v>
      </c>
      <c r="G31" s="1015"/>
      <c r="H31" s="1014">
        <v>1</v>
      </c>
      <c r="I31" s="1013">
        <f t="shared" ref="I31:I36" si="1">F31*H31</f>
        <v>484.83245681156234</v>
      </c>
    </row>
    <row r="32" spans="1:9" ht="19.5">
      <c r="A32" s="61"/>
      <c r="B32" s="62"/>
      <c r="C32" s="60"/>
      <c r="D32" s="60"/>
      <c r="E32" s="128"/>
      <c r="F32" s="1070"/>
      <c r="G32" s="1015"/>
      <c r="H32" s="1070"/>
      <c r="I32" s="1013">
        <f t="shared" si="1"/>
        <v>0</v>
      </c>
    </row>
    <row r="33" spans="1:9" ht="19.5">
      <c r="A33" s="61"/>
      <c r="B33" s="62"/>
      <c r="C33" s="60"/>
      <c r="D33" s="60"/>
      <c r="E33" s="128"/>
      <c r="F33" s="1070"/>
      <c r="G33" s="1015"/>
      <c r="H33" s="1070"/>
      <c r="I33" s="1013">
        <f t="shared" si="1"/>
        <v>0</v>
      </c>
    </row>
    <row r="34" spans="1:9" ht="19.5">
      <c r="A34" s="61"/>
      <c r="B34" s="62"/>
      <c r="C34" s="60"/>
      <c r="D34" s="60"/>
      <c r="E34" s="128"/>
      <c r="F34" s="1070"/>
      <c r="G34" s="1015"/>
      <c r="H34" s="1070"/>
      <c r="I34" s="1013">
        <f t="shared" si="1"/>
        <v>0</v>
      </c>
    </row>
    <row r="35" spans="1:9" ht="19.5">
      <c r="A35" s="61"/>
      <c r="B35" s="62"/>
      <c r="C35" s="60"/>
      <c r="D35" s="60"/>
      <c r="E35" s="128"/>
      <c r="F35" s="1070"/>
      <c r="G35" s="1015"/>
      <c r="H35" s="1070"/>
      <c r="I35" s="1013">
        <f t="shared" si="1"/>
        <v>0</v>
      </c>
    </row>
    <row r="36" spans="1:9" ht="19.5">
      <c r="A36" s="61"/>
      <c r="B36" s="62"/>
      <c r="C36" s="60"/>
      <c r="D36" s="60"/>
      <c r="E36" s="128"/>
      <c r="F36" s="1070"/>
      <c r="G36" s="1015"/>
      <c r="H36" s="1070"/>
      <c r="I36" s="1013">
        <f t="shared" si="1"/>
        <v>0</v>
      </c>
    </row>
    <row r="37" spans="1:9" ht="19.5">
      <c r="A37" s="61">
        <f>+A30+1</f>
        <v>6</v>
      </c>
      <c r="B37" s="62"/>
      <c r="C37" s="60" t="s">
        <v>611</v>
      </c>
      <c r="D37" s="60"/>
      <c r="E37" s="128">
        <f>+F38+F39</f>
        <v>873515.16754318739</v>
      </c>
      <c r="F37" s="70"/>
      <c r="I37" s="1069">
        <f>SUM(I38:I39)</f>
        <v>873515.16754318739</v>
      </c>
    </row>
    <row r="38" spans="1:9" ht="19.5">
      <c r="A38" s="61"/>
      <c r="B38" s="62"/>
      <c r="C38" s="60"/>
      <c r="D38" s="60"/>
      <c r="E38" s="128"/>
      <c r="F38" s="1070">
        <v>873515.16754318739</v>
      </c>
      <c r="G38" s="1015"/>
      <c r="H38" s="1014">
        <v>1</v>
      </c>
      <c r="I38" s="1013">
        <f>F38*H38</f>
        <v>873515.16754318739</v>
      </c>
    </row>
    <row r="39" spans="1:9" ht="19.5">
      <c r="A39" s="61"/>
      <c r="B39" s="62"/>
      <c r="C39" s="60"/>
      <c r="D39" s="60"/>
      <c r="E39" s="128"/>
      <c r="F39" s="1070"/>
      <c r="G39" s="1015"/>
      <c r="H39" s="1070"/>
      <c r="I39" s="1013">
        <f>F39*H39</f>
        <v>0</v>
      </c>
    </row>
    <row r="40" spans="1:9" ht="19.5">
      <c r="A40" s="61">
        <f>+A37+1</f>
        <v>7</v>
      </c>
      <c r="B40" s="62"/>
      <c r="C40" s="60" t="s">
        <v>243</v>
      </c>
      <c r="D40" s="105"/>
      <c r="E40" s="128">
        <f>+F41</f>
        <v>0</v>
      </c>
      <c r="F40" s="125"/>
      <c r="I40" s="1069">
        <f>SUM(I41)</f>
        <v>0</v>
      </c>
    </row>
    <row r="41" spans="1:9" ht="19.5">
      <c r="A41" s="61"/>
      <c r="B41" s="62"/>
      <c r="C41" s="60"/>
      <c r="D41" s="105"/>
      <c r="E41" s="128"/>
      <c r="F41" s="1070">
        <v>0</v>
      </c>
      <c r="G41" s="1015"/>
      <c r="H41" s="1070"/>
      <c r="I41" s="1013">
        <f>F41*H41</f>
        <v>0</v>
      </c>
    </row>
    <row r="42" spans="1:9" ht="19.5">
      <c r="A42" s="1071"/>
      <c r="B42" s="1072"/>
      <c r="C42" s="1073"/>
      <c r="D42" s="1012"/>
      <c r="E42" s="1074"/>
      <c r="F42" s="1011"/>
      <c r="G42" s="1010"/>
      <c r="H42" s="1010"/>
      <c r="I42" s="1010"/>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0">
        <v>0</v>
      </c>
      <c r="G51" s="124"/>
    </row>
    <row r="52" spans="1:7" ht="19.5">
      <c r="A52" s="61">
        <f>+A50+1</f>
        <v>10</v>
      </c>
      <c r="B52" s="62"/>
      <c r="C52" s="60" t="s">
        <v>109</v>
      </c>
      <c r="D52" s="62"/>
      <c r="E52" s="128">
        <f>+F53</f>
        <v>0</v>
      </c>
      <c r="F52" s="70"/>
      <c r="G52" s="70"/>
    </row>
    <row r="53" spans="1:7" ht="19.5">
      <c r="A53" s="61"/>
      <c r="B53" s="62"/>
      <c r="C53" s="60"/>
      <c r="D53" s="62"/>
      <c r="E53" s="128"/>
      <c r="F53" s="1070">
        <v>0</v>
      </c>
      <c r="G53" s="124"/>
    </row>
    <row r="54" spans="1:7" ht="19.5">
      <c r="A54" s="61">
        <f>+A52+1</f>
        <v>11</v>
      </c>
      <c r="B54" s="62"/>
      <c r="C54" s="60" t="s">
        <v>110</v>
      </c>
      <c r="D54" s="62"/>
      <c r="E54" s="128">
        <f>+F55+F56+F57</f>
        <v>0</v>
      </c>
      <c r="F54" s="70"/>
      <c r="G54" s="70"/>
    </row>
    <row r="55" spans="1:7" ht="19.5">
      <c r="A55" s="61" t="s">
        <v>406</v>
      </c>
      <c r="B55" s="62"/>
      <c r="C55" s="57"/>
      <c r="D55" s="62"/>
      <c r="E55" s="129"/>
      <c r="F55" s="1070">
        <v>0</v>
      </c>
      <c r="G55" s="124"/>
    </row>
    <row r="56" spans="1:7" ht="19.5">
      <c r="A56" s="61"/>
      <c r="B56" s="62"/>
      <c r="C56" s="57"/>
      <c r="D56" s="62"/>
      <c r="E56" s="129"/>
      <c r="F56" s="652"/>
      <c r="G56" s="124"/>
    </row>
    <row r="57" spans="1:7" ht="19.5">
      <c r="A57" s="61"/>
      <c r="B57" s="62"/>
      <c r="C57" s="57"/>
      <c r="D57" s="62"/>
      <c r="E57" s="129"/>
      <c r="F57" s="652"/>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0">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0">
        <v>0</v>
      </c>
      <c r="G63" s="124"/>
    </row>
    <row r="64" spans="1:7" ht="19.5">
      <c r="A64" s="67"/>
      <c r="B64" s="68"/>
      <c r="C64" s="57"/>
      <c r="D64" s="69"/>
      <c r="E64" s="128"/>
      <c r="F64" s="652"/>
      <c r="G64" s="124"/>
    </row>
    <row r="65" spans="1:7" ht="19.5">
      <c r="A65" s="61">
        <f>A62+1</f>
        <v>16</v>
      </c>
      <c r="B65" s="62"/>
      <c r="C65" s="57" t="s">
        <v>111</v>
      </c>
      <c r="D65" s="62"/>
      <c r="E65" s="80">
        <f>+F66+F67+F68</f>
        <v>0</v>
      </c>
      <c r="F65" s="70"/>
      <c r="G65" s="70"/>
    </row>
    <row r="66" spans="1:7" ht="19.5">
      <c r="A66" s="61"/>
      <c r="B66" s="62"/>
      <c r="C66" s="57"/>
      <c r="D66" s="62"/>
      <c r="E66" s="80"/>
      <c r="F66" s="1070">
        <v>0</v>
      </c>
      <c r="G66" s="124"/>
    </row>
    <row r="67" spans="1:7" ht="19.5">
      <c r="A67" s="61"/>
      <c r="B67" s="62"/>
      <c r="C67" s="57"/>
      <c r="D67" s="62"/>
      <c r="E67" s="80"/>
      <c r="F67" s="652"/>
      <c r="G67" s="124"/>
    </row>
    <row r="68" spans="1:7" ht="19.5">
      <c r="A68" s="61"/>
      <c r="B68" s="62"/>
      <c r="C68" s="57"/>
      <c r="D68" s="62"/>
      <c r="E68" s="80"/>
      <c r="F68" s="652"/>
      <c r="G68" s="124"/>
    </row>
    <row r="69" spans="1:7" ht="19.5">
      <c r="A69" s="61">
        <f>+A65+1</f>
        <v>17</v>
      </c>
      <c r="B69" s="62"/>
      <c r="C69" s="57" t="s">
        <v>112</v>
      </c>
      <c r="D69"/>
      <c r="E69" s="80">
        <f>SUM(F70:F80)</f>
        <v>314225</v>
      </c>
      <c r="F69" s="70"/>
      <c r="G69" s="70"/>
    </row>
    <row r="70" spans="1:7" ht="19.5">
      <c r="A70" s="61"/>
      <c r="B70" s="62"/>
      <c r="C70" s="57"/>
      <c r="D70"/>
      <c r="E70" s="80"/>
      <c r="F70" s="1070">
        <v>314225</v>
      </c>
      <c r="G70" s="124"/>
    </row>
    <row r="71" spans="1:7" ht="19.5">
      <c r="A71" s="61"/>
      <c r="B71" s="62"/>
      <c r="C71" s="57"/>
      <c r="D71"/>
      <c r="E71" s="80"/>
      <c r="F71" s="652"/>
      <c r="G71" s="124"/>
    </row>
    <row r="72" spans="1:7" ht="19.5">
      <c r="A72" s="61"/>
      <c r="B72" s="62"/>
      <c r="C72" s="57"/>
      <c r="D72"/>
      <c r="E72" s="80"/>
      <c r="F72" s="652"/>
      <c r="G72" s="124"/>
    </row>
    <row r="73" spans="1:7" ht="19.5">
      <c r="A73" s="61"/>
      <c r="B73" s="62"/>
      <c r="C73" s="57"/>
      <c r="D73"/>
      <c r="E73" s="80"/>
      <c r="F73" s="652"/>
      <c r="G73" s="124"/>
    </row>
    <row r="74" spans="1:7" ht="19.5">
      <c r="A74" s="61"/>
      <c r="B74" s="62"/>
      <c r="C74" s="57"/>
      <c r="D74"/>
      <c r="E74" s="80"/>
      <c r="F74" s="652"/>
      <c r="G74" s="124"/>
    </row>
    <row r="75" spans="1:7" ht="19.5">
      <c r="A75" s="61"/>
      <c r="B75" s="62"/>
      <c r="C75" s="57"/>
      <c r="D75"/>
      <c r="E75" s="80"/>
      <c r="F75" s="652"/>
      <c r="G75" s="124"/>
    </row>
    <row r="76" spans="1:7" ht="19.5">
      <c r="A76" s="61"/>
      <c r="B76" s="62"/>
      <c r="C76" s="57"/>
      <c r="D76"/>
      <c r="E76" s="80"/>
      <c r="F76" s="652"/>
      <c r="G76" s="124"/>
    </row>
    <row r="77" spans="1:7" ht="19.5">
      <c r="A77" s="61"/>
      <c r="B77" s="62"/>
      <c r="C77" s="57"/>
      <c r="D77"/>
      <c r="E77" s="80"/>
      <c r="F77" s="652"/>
      <c r="G77" s="124"/>
    </row>
    <row r="78" spans="1:7" ht="19.5">
      <c r="A78" s="61"/>
      <c r="B78" s="62"/>
      <c r="C78" s="57"/>
      <c r="D78"/>
      <c r="E78" s="80"/>
      <c r="F78" s="652"/>
      <c r="G78" s="124"/>
    </row>
    <row r="79" spans="1:7" ht="19.5">
      <c r="A79" s="61"/>
      <c r="B79" s="62"/>
      <c r="C79" s="57"/>
      <c r="D79"/>
      <c r="E79" s="80"/>
      <c r="F79" s="652"/>
      <c r="G79" s="124"/>
    </row>
    <row r="80" spans="1:7" ht="19.5">
      <c r="A80" s="61"/>
      <c r="B80" s="62"/>
      <c r="C80" s="57"/>
      <c r="D80"/>
      <c r="E80" s="80"/>
      <c r="F80" s="652"/>
      <c r="G80" s="124"/>
    </row>
    <row r="81" spans="1:7" ht="19.5">
      <c r="A81" s="61">
        <f>+A69+1</f>
        <v>18</v>
      </c>
      <c r="B81" s="62"/>
      <c r="C81" s="57" t="s">
        <v>113</v>
      </c>
      <c r="D81"/>
      <c r="E81" s="80">
        <f>SUM(F82:F85)</f>
        <v>0</v>
      </c>
      <c r="F81" s="70"/>
      <c r="G81" s="70"/>
    </row>
    <row r="82" spans="1:7" ht="19.5">
      <c r="A82" s="61"/>
      <c r="B82" s="62"/>
      <c r="C82" s="57"/>
      <c r="D82"/>
      <c r="E82" s="80"/>
      <c r="F82" s="1070">
        <v>0</v>
      </c>
      <c r="G82" s="124"/>
    </row>
    <row r="83" spans="1:7" ht="19.5">
      <c r="A83" s="61"/>
      <c r="B83" s="62"/>
      <c r="C83" s="57"/>
      <c r="D83"/>
      <c r="E83" s="80"/>
      <c r="F83" s="652"/>
      <c r="G83" s="124"/>
    </row>
    <row r="84" spans="1:7" ht="19.5">
      <c r="A84" s="61"/>
      <c r="B84" s="62"/>
      <c r="C84" s="57"/>
      <c r="D84"/>
      <c r="E84" s="80"/>
      <c r="F84" s="652"/>
      <c r="G84" s="124"/>
    </row>
    <row r="85" spans="1:7" ht="19.5">
      <c r="A85" s="61"/>
      <c r="B85" s="62"/>
      <c r="C85" s="57"/>
      <c r="D85"/>
      <c r="E85" s="80"/>
      <c r="F85" s="652"/>
      <c r="G85" s="124"/>
    </row>
    <row r="86" spans="1:7" ht="19.5">
      <c r="A86" s="61">
        <f>+A81+1</f>
        <v>19</v>
      </c>
      <c r="B86" s="62"/>
      <c r="C86" s="57" t="s">
        <v>114</v>
      </c>
      <c r="D86" s="62"/>
      <c r="E86" s="80">
        <f>F87</f>
        <v>0</v>
      </c>
      <c r="F86" s="70"/>
      <c r="G86" s="70"/>
    </row>
    <row r="87" spans="1:7" ht="19.5">
      <c r="A87" s="61"/>
      <c r="B87" s="62"/>
      <c r="C87" s="57"/>
      <c r="D87" s="62"/>
      <c r="E87" s="80"/>
      <c r="F87" s="1070">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0">
        <v>0</v>
      </c>
      <c r="G90" s="124"/>
    </row>
    <row r="91" spans="1:7" ht="19.5">
      <c r="A91" s="61"/>
      <c r="B91" s="62"/>
      <c r="C91" s="57"/>
      <c r="D91" s="62"/>
      <c r="E91" s="80"/>
      <c r="F91" s="652"/>
      <c r="G91" s="124"/>
    </row>
    <row r="92" spans="1:7" ht="19.5">
      <c r="A92" s="61"/>
      <c r="B92" s="62"/>
      <c r="C92" s="57"/>
      <c r="D92" s="62"/>
      <c r="E92" s="80"/>
      <c r="F92" s="652"/>
      <c r="G92" s="124"/>
    </row>
    <row r="93" spans="1:7" ht="19.5">
      <c r="A93" s="61"/>
      <c r="B93" s="62"/>
      <c r="C93" s="57"/>
      <c r="D93" s="62"/>
      <c r="E93" s="80"/>
      <c r="F93" s="652"/>
      <c r="G93" s="124"/>
    </row>
    <row r="94" spans="1:7" ht="19.5">
      <c r="A94" s="61"/>
      <c r="B94" s="62"/>
      <c r="C94" s="57"/>
      <c r="D94" s="62"/>
      <c r="E94" s="80"/>
      <c r="F94" s="652"/>
      <c r="G94" s="124"/>
    </row>
    <row r="95" spans="1:7" ht="19.5">
      <c r="A95" s="61">
        <f>+A89+1</f>
        <v>21</v>
      </c>
      <c r="B95" s="57"/>
      <c r="C95" s="57" t="s">
        <v>104</v>
      </c>
      <c r="D95" s="57"/>
      <c r="E95" s="80">
        <f>SUM(F96:F97)</f>
        <v>0</v>
      </c>
      <c r="F95" s="127"/>
      <c r="G95" s="124"/>
    </row>
    <row r="96" spans="1:7" ht="19.5">
      <c r="A96" s="61"/>
      <c r="B96" s="57"/>
      <c r="C96" s="57"/>
      <c r="D96" s="57"/>
      <c r="E96" s="122"/>
      <c r="F96" s="1070">
        <v>0</v>
      </c>
      <c r="G96" s="124"/>
    </row>
    <row r="97" spans="1:7" ht="19.5">
      <c r="A97" s="61"/>
      <c r="B97" s="57"/>
      <c r="C97" s="57"/>
      <c r="D97" s="57"/>
      <c r="E97" s="122"/>
      <c r="F97" s="652"/>
      <c r="G97" s="124"/>
    </row>
    <row r="98" spans="1:7" ht="19.5">
      <c r="A98" s="61">
        <f>+A95+1</f>
        <v>22</v>
      </c>
      <c r="B98" s="57"/>
      <c r="C98" s="74" t="s">
        <v>398</v>
      </c>
      <c r="D98" s="70"/>
      <c r="E98" s="128">
        <f>+F99</f>
        <v>0</v>
      </c>
      <c r="G98" s="70"/>
    </row>
    <row r="99" spans="1:7" ht="19.5">
      <c r="A99" s="61"/>
      <c r="B99" s="57"/>
      <c r="C99" s="74"/>
      <c r="D99" s="70"/>
      <c r="E99" s="129"/>
      <c r="F99" s="1070">
        <v>0</v>
      </c>
      <c r="G99" s="70"/>
    </row>
    <row r="100" spans="1:7" ht="19.5">
      <c r="A100" s="4"/>
      <c r="B100" s="115"/>
      <c r="C100" s="115"/>
      <c r="D100"/>
      <c r="E100"/>
      <c r="F100" s="127"/>
      <c r="G100" s="70"/>
    </row>
    <row r="101" spans="1:7" ht="20.25" thickBot="1">
      <c r="A101" s="112">
        <f>+A98+1</f>
        <v>23</v>
      </c>
      <c r="B101" s="115"/>
      <c r="C101" s="57" t="s">
        <v>108</v>
      </c>
      <c r="D101"/>
      <c r="E101" s="73">
        <f>SUM(E24:E99)</f>
        <v>1188224.9999999991</v>
      </c>
      <c r="F101" s="73">
        <f>SUM(F14:F99)</f>
        <v>1188224.9999999991</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531" t="s">
        <v>770</v>
      </c>
      <c r="B104" s="1531"/>
      <c r="C104" s="1531"/>
      <c r="D104" s="1531"/>
      <c r="E104" s="1531"/>
      <c r="F104" s="1531"/>
      <c r="G104" s="1531"/>
    </row>
    <row r="105" spans="1:7" ht="21.75" customHeight="1">
      <c r="A105" s="1531"/>
      <c r="B105" s="1531"/>
      <c r="C105" s="1531"/>
      <c r="D105" s="1531"/>
      <c r="E105" s="1531"/>
      <c r="F105" s="1531"/>
      <c r="G105" s="1531"/>
    </row>
    <row r="106" spans="1:7" ht="21.75" customHeight="1">
      <c r="A106" s="1531"/>
      <c r="B106" s="1531"/>
      <c r="C106" s="1531"/>
      <c r="D106" s="1531"/>
      <c r="E106" s="1531"/>
      <c r="F106" s="1531"/>
      <c r="G106" s="1531"/>
    </row>
    <row r="107" spans="1:7" ht="21.75" customHeight="1">
      <c r="A107" s="1531"/>
      <c r="B107" s="1531"/>
      <c r="C107" s="1531"/>
      <c r="D107" s="1531"/>
      <c r="E107" s="1531"/>
      <c r="F107" s="1531"/>
      <c r="G107" s="1531"/>
    </row>
    <row r="108" spans="1:7" ht="21.75" customHeight="1">
      <c r="A108" s="1531"/>
      <c r="B108" s="1531"/>
      <c r="C108" s="1531"/>
      <c r="D108" s="1531"/>
      <c r="E108" s="1531"/>
      <c r="F108" s="1531"/>
      <c r="G108" s="1531"/>
    </row>
    <row r="109" spans="1:7" ht="19.5">
      <c r="A109" s="1266"/>
      <c r="B109" s="79"/>
      <c r="C109" s="79"/>
      <c r="D109" s="79"/>
      <c r="E109" s="1267"/>
      <c r="F109" s="70"/>
      <c r="G109" s="70"/>
    </row>
    <row r="110" spans="1:7" ht="30" customHeight="1">
      <c r="A110" s="1529" t="s">
        <v>698</v>
      </c>
      <c r="B110" s="1529"/>
      <c r="C110" s="1529"/>
      <c r="D110" s="1529"/>
      <c r="E110" s="1529"/>
      <c r="F110" s="1529"/>
      <c r="G110" s="1529"/>
    </row>
    <row r="111" spans="1:7" ht="30" customHeight="1">
      <c r="A111" s="1529"/>
      <c r="B111" s="1529"/>
      <c r="C111" s="1529"/>
      <c r="D111" s="1529"/>
      <c r="E111" s="1529"/>
      <c r="F111" s="1529"/>
      <c r="G111" s="152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0"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5" t="s">
        <v>406</v>
      </c>
    </row>
    <row r="2" spans="1:13" ht="15.75">
      <c r="A2" s="1005" t="s">
        <v>406</v>
      </c>
    </row>
    <row r="3" spans="1:13" ht="18">
      <c r="A3" s="1535" t="str">
        <f>TCOS!$F$5</f>
        <v>AEPTCo subsidiaries in PJM</v>
      </c>
      <c r="B3" s="1535" t="str">
        <f>TCOS!$F$5</f>
        <v>AEPTCo subsidiaries in PJM</v>
      </c>
      <c r="C3" s="1535" t="str">
        <f>TCOS!$F$5</f>
        <v>AEPTCo subsidiaries in PJM</v>
      </c>
      <c r="D3" s="1535" t="str">
        <f>TCOS!$F$5</f>
        <v>AEPTCo subsidiaries in PJM</v>
      </c>
      <c r="E3" s="1535" t="str">
        <f>TCOS!$F$5</f>
        <v>AEPTCo subsidiaries in PJM</v>
      </c>
      <c r="F3" s="1535" t="str">
        <f>TCOS!$F$5</f>
        <v>AEPTCo subsidiaries in PJM</v>
      </c>
      <c r="G3" s="1535" t="str">
        <f>TCOS!$F$5</f>
        <v>AEPTCo subsidiaries in PJM</v>
      </c>
      <c r="H3" s="1535" t="str">
        <f>TCOS!$F$5</f>
        <v>AEPTCo subsidiaries in PJM</v>
      </c>
      <c r="I3" s="1535" t="str">
        <f>TCOS!$F$5</f>
        <v>AEPTCo subsidiaries in PJM</v>
      </c>
      <c r="J3" s="1535" t="str">
        <f>TCOS!$F$5</f>
        <v>AEPTCo subsidiaries in PJM</v>
      </c>
      <c r="K3" s="77"/>
      <c r="L3" s="77"/>
      <c r="M3" s="77"/>
    </row>
    <row r="4" spans="1:13" ht="18">
      <c r="A4" s="1534" t="str">
        <f>"Cost of Service Formula Rate Using Actual/Projected FF1 Balances"</f>
        <v>Cost of Service Formula Rate Using Actual/Projected FF1 Balances</v>
      </c>
      <c r="B4" s="1534"/>
      <c r="C4" s="1534"/>
      <c r="D4" s="1534"/>
      <c r="E4" s="1534"/>
      <c r="F4" s="1534"/>
      <c r="G4" s="1534"/>
      <c r="H4" s="1534"/>
      <c r="I4" s="1534"/>
      <c r="J4" s="1534"/>
      <c r="K4" s="52"/>
      <c r="L4" s="52"/>
      <c r="M4" s="52"/>
    </row>
    <row r="5" spans="1:13" ht="18">
      <c r="A5" s="1534" t="s">
        <v>587</v>
      </c>
      <c r="B5" s="1534"/>
      <c r="C5" s="1534"/>
      <c r="D5" s="1534"/>
      <c r="E5" s="1534"/>
      <c r="F5" s="1534"/>
      <c r="G5" s="1534"/>
      <c r="H5" s="1534"/>
      <c r="I5" s="1534"/>
      <c r="J5" s="1534"/>
      <c r="K5" s="78"/>
      <c r="L5" s="78"/>
      <c r="M5" s="78"/>
    </row>
    <row r="6" spans="1:13" ht="18">
      <c r="A6" s="1526" t="str">
        <f>+TCOS!F9</f>
        <v>AEP Appalachian Transmission Company</v>
      </c>
      <c r="B6" s="1526"/>
      <c r="C6" s="1526"/>
      <c r="D6" s="1526"/>
      <c r="E6" s="1526"/>
      <c r="F6" s="1526"/>
      <c r="G6" s="1526"/>
      <c r="H6" s="1526"/>
      <c r="I6" s="1526"/>
      <c r="J6" s="1526"/>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70"/>
  <sheetViews>
    <sheetView view="pageBreakPreview" topLeftCell="A3" zoomScale="60" zoomScaleNormal="100" workbookViewId="0">
      <selection activeCell="F42" sqref="F42"/>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7"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5" t="s">
        <v>406</v>
      </c>
    </row>
    <row r="2" spans="1:16" ht="15.75">
      <c r="A2" s="1005" t="s">
        <v>406</v>
      </c>
    </row>
    <row r="3" spans="1:16" ht="15">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c r="I3" s="1484" t="str">
        <f>TCOS!$F$5</f>
        <v>AEPTCo subsidiaries in PJM</v>
      </c>
      <c r="J3" s="1484" t="str">
        <f>TCOS!$F$5</f>
        <v>AEPTCo subsidiaries in PJM</v>
      </c>
      <c r="K3" s="1484" t="str">
        <f>TCOS!$F$5</f>
        <v>AEPTCo subsidiaries in PJM</v>
      </c>
      <c r="L3" s="1484" t="str">
        <f>TCOS!$F$5</f>
        <v>AEPTCo subsidiaries in PJM</v>
      </c>
      <c r="M3" s="1484" t="str">
        <f>TCOS!$F$5</f>
        <v>AEPTCo subsidiaries in PJM</v>
      </c>
      <c r="N3" s="1484" t="str">
        <f>TCOS!$F$5</f>
        <v>AEPTCo subsidiaries in PJM</v>
      </c>
      <c r="O3" s="1484" t="str">
        <f>TCOS!$F$5</f>
        <v>AEPTCo subsidiaries in PJM</v>
      </c>
      <c r="P3" s="156"/>
    </row>
    <row r="4" spans="1:16" ht="15">
      <c r="A4" s="1512" t="str">
        <f>"Cost of Service Formula Rate Using Actual/Projected FF1 Balances"</f>
        <v>Cost of Service Formula Rate Using Actual/Projected FF1 Balances</v>
      </c>
      <c r="B4" s="1512"/>
      <c r="C4" s="1512"/>
      <c r="D4" s="1512"/>
      <c r="E4" s="1512"/>
      <c r="F4" s="1512"/>
      <c r="G4" s="1512"/>
      <c r="H4" s="1512"/>
      <c r="I4" s="1512"/>
      <c r="J4" s="1512"/>
      <c r="K4" s="1512"/>
      <c r="L4" s="1512"/>
      <c r="M4" s="1512"/>
      <c r="N4" s="1512"/>
      <c r="O4" s="1512"/>
      <c r="P4" s="156"/>
    </row>
    <row r="5" spans="1:16" ht="15">
      <c r="A5" s="1512" t="s">
        <v>256</v>
      </c>
      <c r="B5" s="1512"/>
      <c r="C5" s="1512"/>
      <c r="D5" s="1512"/>
      <c r="E5" s="1512"/>
      <c r="F5" s="1512"/>
      <c r="G5" s="1512"/>
      <c r="H5" s="1512"/>
      <c r="I5" s="1512"/>
      <c r="J5" s="1512"/>
      <c r="K5" s="1512"/>
      <c r="L5" s="1512"/>
      <c r="M5" s="1512"/>
      <c r="N5" s="1512"/>
      <c r="O5" s="1512"/>
      <c r="P5" s="156"/>
    </row>
    <row r="6" spans="1:16" ht="15">
      <c r="A6" s="1513" t="str">
        <f>TCOS!F9</f>
        <v>AEP Appalachian Transmission Company</v>
      </c>
      <c r="B6" s="1513"/>
      <c r="C6" s="1513"/>
      <c r="D6" s="1513"/>
      <c r="E6" s="1513"/>
      <c r="F6" s="1513"/>
      <c r="G6" s="1513"/>
      <c r="H6" s="1513"/>
      <c r="I6" s="1513"/>
      <c r="J6" s="1513"/>
      <c r="K6" s="1513"/>
      <c r="L6" s="1513"/>
      <c r="M6" s="1513"/>
      <c r="N6" s="1513"/>
      <c r="O6" s="1513"/>
      <c r="P6" s="156"/>
    </row>
    <row r="7" spans="1:16">
      <c r="P7" s="156"/>
    </row>
    <row r="8" spans="1:16" ht="20.25">
      <c r="A8" s="653"/>
      <c r="C8" s="392"/>
      <c r="N8" s="654" t="str">
        <f>"Page "&amp;P8&amp;" of "</f>
        <v xml:space="preserve">Page 1 of </v>
      </c>
      <c r="O8" s="655">
        <f>COUNT(P$8:P$56653)</f>
        <v>2</v>
      </c>
      <c r="P8" s="656">
        <v>1</v>
      </c>
    </row>
    <row r="9" spans="1:16" ht="18">
      <c r="C9" s="657"/>
      <c r="P9" s="156"/>
    </row>
    <row r="10" spans="1:16">
      <c r="P10" s="156"/>
    </row>
    <row r="11" spans="1:16" ht="18">
      <c r="B11" s="658" t="s">
        <v>461</v>
      </c>
      <c r="C11" s="1539" t="str">
        <f>"Calculate Return and Income Taxes with "&amp;F17&amp;" basis point ROE increase for Projects Qualified for Regional Billing."</f>
        <v>Calculate Return and Income Taxes with 0 basis point ROE increase for Projects Qualified for Regional Billing.</v>
      </c>
      <c r="D11" s="1540"/>
      <c r="E11" s="1540"/>
      <c r="F11" s="1540"/>
      <c r="G11" s="1540"/>
      <c r="H11" s="1540"/>
      <c r="P11" s="156"/>
    </row>
    <row r="12" spans="1:16" ht="18.75" customHeight="1">
      <c r="C12" s="1540"/>
      <c r="D12" s="1540"/>
      <c r="E12" s="1540"/>
      <c r="F12" s="1540"/>
      <c r="G12" s="1540"/>
      <c r="H12" s="1540"/>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436</v>
      </c>
      <c r="E20" s="670" t="s">
        <v>435</v>
      </c>
      <c r="F20" s="671" t="s">
        <v>44</v>
      </c>
      <c r="G20" s="662"/>
      <c r="H20" s="664"/>
      <c r="I20" s="664"/>
      <c r="J20" s="665"/>
    </row>
    <row r="21" spans="3:16" ht="13.5" thickBot="1">
      <c r="C21" s="672" t="s">
        <v>48</v>
      </c>
      <c r="D21" s="673">
        <f>TCOS!I233</f>
        <v>0.49421038830199421</v>
      </c>
      <c r="E21" s="674">
        <f>TCOS!J233</f>
        <v>3.7275577557755776E-2</v>
      </c>
      <c r="F21" s="675">
        <f>E21*D21</f>
        <v>1.8421977658999583E-2</v>
      </c>
      <c r="G21" s="662"/>
      <c r="H21" s="664"/>
      <c r="I21" s="676"/>
      <c r="J21" s="677"/>
      <c r="K21" s="439"/>
      <c r="L21" s="439"/>
      <c r="M21" s="439"/>
      <c r="N21" s="439"/>
      <c r="O21" s="439"/>
    </row>
    <row r="22" spans="3:16">
      <c r="C22" s="672" t="s">
        <v>49</v>
      </c>
      <c r="D22" s="673">
        <f>TCOS!I234</f>
        <v>0</v>
      </c>
      <c r="E22" s="674">
        <f>TCOS!J234</f>
        <v>0</v>
      </c>
      <c r="F22" s="675">
        <f>E22*D22</f>
        <v>0</v>
      </c>
      <c r="G22" s="678"/>
      <c r="H22" s="678"/>
      <c r="I22" s="679"/>
      <c r="J22" s="680"/>
      <c r="K22" s="1542" t="s">
        <v>231</v>
      </c>
      <c r="L22" s="1543"/>
      <c r="M22" s="1543"/>
      <c r="N22" s="1543"/>
      <c r="O22" s="1544"/>
      <c r="P22" s="680"/>
    </row>
    <row r="23" spans="3:16">
      <c r="C23" s="681" t="s">
        <v>29</v>
      </c>
      <c r="D23" s="673">
        <f>TCOS!I235</f>
        <v>0.50578961169800585</v>
      </c>
      <c r="E23" s="674">
        <f>+F18</f>
        <v>0.10349999999999999</v>
      </c>
      <c r="F23" s="682">
        <f>E23*D23</f>
        <v>5.2349224810743604E-2</v>
      </c>
      <c r="G23" s="678"/>
      <c r="H23" s="678"/>
      <c r="I23" s="679"/>
      <c r="J23" s="680"/>
      <c r="K23" s="1545"/>
      <c r="L23" s="1546"/>
      <c r="M23" s="1546"/>
      <c r="N23" s="1546"/>
      <c r="O23" s="1547"/>
      <c r="P23" s="680"/>
    </row>
    <row r="24" spans="3:16">
      <c r="C24" s="661"/>
      <c r="D24" s="173"/>
      <c r="E24" s="683" t="s">
        <v>50</v>
      </c>
      <c r="F24" s="675">
        <f>SUM(F21:F23)</f>
        <v>7.0771202469743194E-2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2025</v>
      </c>
      <c r="M26" s="955">
        <f>N88</f>
        <v>0</v>
      </c>
      <c r="N26" s="955">
        <f>N89</f>
        <v>0</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130058393.81921667</v>
      </c>
      <c r="G28" s="689"/>
      <c r="H28" s="689"/>
      <c r="I28" s="689"/>
      <c r="J28" s="689"/>
      <c r="K28" s="697"/>
      <c r="L28" s="697"/>
      <c r="M28" s="697"/>
      <c r="N28" s="697"/>
      <c r="O28" s="700"/>
      <c r="P28" s="689"/>
    </row>
    <row r="29" spans="3:16">
      <c r="C29" s="665" t="s">
        <v>276</v>
      </c>
      <c r="D29" s="701"/>
      <c r="F29" s="675">
        <f>F24</f>
        <v>7.0771202469743194E-2</v>
      </c>
      <c r="G29" s="689"/>
      <c r="H29" s="689"/>
      <c r="I29" s="689"/>
      <c r="J29" s="689"/>
      <c r="K29" s="689"/>
      <c r="L29" s="689"/>
      <c r="M29" s="689"/>
      <c r="N29" s="689"/>
      <c r="O29" s="689"/>
      <c r="P29" s="689"/>
    </row>
    <row r="30" spans="3:16">
      <c r="C30" s="702" t="s">
        <v>53</v>
      </c>
      <c r="D30" s="702"/>
      <c r="F30" s="679">
        <f>F28*F29</f>
        <v>9204388.9218693804</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9204388.9218693804</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0.26182745893581627</v>
      </c>
      <c r="G35" s="314"/>
      <c r="H35" s="709"/>
      <c r="I35" s="314"/>
      <c r="J35" s="426"/>
      <c r="K35" s="314"/>
      <c r="L35" s="314"/>
      <c r="M35" s="314"/>
      <c r="N35" s="314"/>
      <c r="O35" s="314"/>
      <c r="P35" s="426"/>
    </row>
    <row r="36" spans="2:16">
      <c r="C36" s="703" t="s">
        <v>55</v>
      </c>
      <c r="D36" s="539"/>
      <c r="F36" s="710">
        <f>F34*F35</f>
        <v>2409961.7624700372</v>
      </c>
      <c r="G36" s="314"/>
      <c r="H36" s="709"/>
      <c r="I36" s="314"/>
      <c r="J36" s="426"/>
      <c r="K36" s="314"/>
      <c r="L36" s="314"/>
      <c r="M36" s="314"/>
      <c r="N36" s="314"/>
      <c r="O36" s="314"/>
      <c r="P36" s="426"/>
    </row>
    <row r="37" spans="2:16" ht="15">
      <c r="C37" s="661" t="s">
        <v>97</v>
      </c>
      <c r="D37" s="326"/>
      <c r="F37" s="711">
        <f>TCOS!L178</f>
        <v>0</v>
      </c>
      <c r="G37" s="326"/>
      <c r="H37" s="326"/>
      <c r="I37" s="326"/>
      <c r="J37" s="326"/>
      <c r="K37" s="326"/>
      <c r="L37" s="326"/>
      <c r="M37" s="326"/>
      <c r="N37" s="326"/>
      <c r="O37" s="231"/>
      <c r="P37" s="326"/>
    </row>
    <row r="38" spans="2:16" ht="15">
      <c r="C38" s="661" t="s">
        <v>550</v>
      </c>
      <c r="D38" s="326"/>
      <c r="F38" s="711">
        <f>TCOS!L179</f>
        <v>1381.0452888076977</v>
      </c>
      <c r="G38" s="326"/>
      <c r="H38" s="326"/>
      <c r="I38" s="326"/>
      <c r="J38" s="326"/>
      <c r="K38" s="326"/>
      <c r="L38" s="326"/>
      <c r="M38" s="326"/>
      <c r="N38" s="326"/>
      <c r="O38" s="231"/>
      <c r="P38" s="326"/>
    </row>
    <row r="39" spans="2:16" ht="15.75" thickBot="1">
      <c r="C39" s="661" t="s">
        <v>552</v>
      </c>
      <c r="D39" s="326"/>
      <c r="F39" s="712">
        <f>TCOS!L180</f>
        <v>28523.14471547549</v>
      </c>
      <c r="G39" s="326"/>
      <c r="H39" s="326"/>
      <c r="I39" s="326"/>
      <c r="J39" s="326"/>
      <c r="K39" s="326"/>
      <c r="L39" s="326"/>
      <c r="M39" s="326"/>
      <c r="N39" s="326"/>
      <c r="O39" s="231"/>
      <c r="P39" s="326"/>
    </row>
    <row r="40" spans="2:16" ht="15">
      <c r="C40" s="703" t="s">
        <v>56</v>
      </c>
      <c r="D40" s="326"/>
      <c r="F40" s="711">
        <f>F36+F37+F38+F39</f>
        <v>2439865.9524743203</v>
      </c>
      <c r="G40" s="958"/>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20966885.169530723</v>
      </c>
      <c r="H47" s="959"/>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59"/>
      <c r="I48" s="714"/>
      <c r="J48" s="714"/>
      <c r="K48" s="714"/>
      <c r="L48" s="714"/>
      <c r="M48" s="714"/>
      <c r="N48" s="714"/>
      <c r="O48" s="711"/>
      <c r="P48" s="714"/>
    </row>
    <row r="49" spans="2:16">
      <c r="B49" s="348"/>
      <c r="C49" s="661" t="str">
        <f>"   Return  (TCOS, ln "&amp;TCOS!B183&amp;")"</f>
        <v xml:space="preserve">   Return  (TCOS, ln 109)</v>
      </c>
      <c r="D49" s="714"/>
      <c r="E49" s="714"/>
      <c r="G49" s="716">
        <f>TCOS!L183</f>
        <v>9204388.9218693804</v>
      </c>
      <c r="H49" s="960"/>
      <c r="I49" s="714"/>
      <c r="J49" s="717"/>
      <c r="K49" s="717"/>
      <c r="L49" s="717"/>
      <c r="M49" s="717"/>
      <c r="N49" s="717"/>
      <c r="O49" s="711"/>
      <c r="P49" s="717"/>
    </row>
    <row r="50" spans="2:16">
      <c r="B50" s="348"/>
      <c r="C50" s="661" t="str">
        <f>"   Income Taxes  (TCOS, ln "&amp;TCOS!B181&amp;")"</f>
        <v xml:space="preserve">   Income Taxes  (TCOS, ln 108)</v>
      </c>
      <c r="D50" s="714"/>
      <c r="E50" s="714"/>
      <c r="G50" s="718">
        <f>F40</f>
        <v>2439865.9524743203</v>
      </c>
      <c r="H50" s="959"/>
      <c r="I50" s="714"/>
      <c r="J50" s="719"/>
      <c r="K50" s="719"/>
      <c r="L50" s="719"/>
      <c r="M50" s="719"/>
      <c r="N50" s="719"/>
      <c r="O50" s="714"/>
      <c r="P50" s="719"/>
    </row>
    <row r="51" spans="2:16">
      <c r="B51" s="348"/>
      <c r="C51" s="726" t="s">
        <v>607</v>
      </c>
      <c r="D51" s="714"/>
      <c r="E51" s="714"/>
      <c r="G51" s="716">
        <f>G47-G49-G50-G48</f>
        <v>9322630.2951870225</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9322630.2951870225</v>
      </c>
      <c r="H55" s="711"/>
      <c r="I55" s="714"/>
      <c r="J55" s="714"/>
      <c r="K55" s="714"/>
      <c r="L55" s="714"/>
      <c r="M55" s="714"/>
      <c r="N55" s="714"/>
      <c r="O55" s="724"/>
      <c r="P55" s="714"/>
    </row>
    <row r="56" spans="2:16">
      <c r="B56" s="348"/>
      <c r="C56" s="665" t="s">
        <v>94</v>
      </c>
      <c r="D56" s="725"/>
      <c r="E56" s="726"/>
      <c r="G56" s="727">
        <f>F30</f>
        <v>9204388.9218693804</v>
      </c>
      <c r="H56" s="961"/>
      <c r="I56" s="714"/>
      <c r="J56" s="726"/>
      <c r="K56" s="726"/>
      <c r="L56" s="726"/>
      <c r="M56" s="726"/>
      <c r="N56" s="726"/>
      <c r="O56" s="726"/>
      <c r="P56" s="726"/>
    </row>
    <row r="57" spans="2:16" ht="12.75" customHeight="1">
      <c r="B57" s="348"/>
      <c r="C57" s="661" t="s">
        <v>62</v>
      </c>
      <c r="D57" s="714"/>
      <c r="E57" s="714"/>
      <c r="G57" s="718">
        <f>F40</f>
        <v>2439865.9524743203</v>
      </c>
      <c r="H57" s="959"/>
      <c r="I57" s="714"/>
      <c r="J57" s="426"/>
      <c r="K57" s="314"/>
      <c r="L57" s="314"/>
      <c r="M57" s="314"/>
      <c r="N57" s="314"/>
      <c r="O57" s="314"/>
      <c r="P57" s="426"/>
    </row>
    <row r="58" spans="2:16">
      <c r="B58" s="348"/>
      <c r="C58" s="726" t="str">
        <f>"   Annual Revenue Requirement, with "&amp;F17&amp;" Basis Point ROE increase"</f>
        <v xml:space="preserve">   Annual Revenue Requirement, with 0 Basis Point ROE increase</v>
      </c>
      <c r="D58" s="539"/>
      <c r="E58" s="314"/>
      <c r="G58" s="710">
        <f>SUM(G55:G57)</f>
        <v>20966885.16953072</v>
      </c>
      <c r="H58" s="962"/>
      <c r="I58" s="714"/>
      <c r="J58" s="426"/>
      <c r="K58" s="314"/>
      <c r="L58" s="314"/>
      <c r="M58" s="314"/>
      <c r="N58" s="314"/>
      <c r="O58" s="314"/>
      <c r="P58" s="426"/>
    </row>
    <row r="59" spans="2:16">
      <c r="B59" s="348"/>
      <c r="C59" s="661" t="str">
        <f>"   Depreciation &amp; Amortization (TCOS, ln "&amp;TCOS!B154&amp;")"</f>
        <v xml:space="preserve">   Depreciation &amp; Amortization (TCOS, ln 83)</v>
      </c>
      <c r="D59" s="539"/>
      <c r="E59" s="314"/>
      <c r="G59" s="728">
        <f>TCOS!L154</f>
        <v>4049576.4822283401</v>
      </c>
      <c r="H59" s="962"/>
      <c r="I59" s="714"/>
      <c r="J59" s="426"/>
      <c r="K59" s="314"/>
      <c r="L59" s="314"/>
      <c r="M59" s="314"/>
      <c r="N59" s="314"/>
      <c r="O59" s="314"/>
      <c r="P59" s="426"/>
    </row>
    <row r="60" spans="2:16">
      <c r="B60" s="348"/>
      <c r="C60" s="726" t="str">
        <f>"   Annual Rev. Req, w/"&amp;F17&amp;" Basis Point ROE increase, less Depreciation"</f>
        <v xml:space="preserve">   Annual Rev. Req, w/0 Basis Point ROE increase, less Depreciation</v>
      </c>
      <c r="D60" s="539"/>
      <c r="E60" s="314"/>
      <c r="G60" s="710">
        <f>G58-G59</f>
        <v>16917308.687302381</v>
      </c>
      <c r="H60" s="962"/>
      <c r="I60" s="714"/>
      <c r="J60" s="426"/>
      <c r="K60" s="314"/>
      <c r="L60" s="314"/>
      <c r="M60" s="314"/>
      <c r="N60" s="314"/>
      <c r="O60" s="314"/>
      <c r="P60" s="426"/>
    </row>
    <row r="61" spans="2:16">
      <c r="B61" s="348"/>
      <c r="C61" s="314"/>
      <c r="D61" s="539"/>
      <c r="E61" s="314"/>
      <c r="F61" s="314"/>
      <c r="G61" s="314"/>
      <c r="H61" s="963"/>
      <c r="I61" s="714"/>
      <c r="J61" s="426"/>
      <c r="K61" s="314"/>
      <c r="L61" s="314"/>
      <c r="M61" s="314"/>
      <c r="N61" s="314"/>
      <c r="O61" s="314"/>
      <c r="P61" s="426"/>
    </row>
    <row r="62" spans="2:16" ht="15.75">
      <c r="B62" s="348"/>
      <c r="C62" s="660" t="str">
        <f>"C.   Determine FCR with hypothetical "&amp;F17&amp;" basis point ROE increase."</f>
        <v>C.   Determine FCR with hypothetical 0 basis point ROE increase.</v>
      </c>
      <c r="D62" s="539"/>
      <c r="E62" s="314"/>
      <c r="F62" s="314"/>
      <c r="G62" s="314"/>
      <c r="H62" s="963"/>
      <c r="I62" s="714"/>
      <c r="J62" s="426"/>
      <c r="K62" s="314"/>
      <c r="L62" s="314"/>
      <c r="M62" s="314"/>
      <c r="N62" s="314"/>
      <c r="O62" s="314"/>
      <c r="P62" s="426"/>
    </row>
    <row r="63" spans="2:16">
      <c r="B63" s="348"/>
      <c r="C63" s="314"/>
      <c r="D63" s="539"/>
      <c r="E63" s="314"/>
      <c r="F63" s="314"/>
      <c r="G63" s="314"/>
      <c r="H63" s="963"/>
      <c r="I63" s="714"/>
      <c r="J63" s="426"/>
      <c r="K63" s="314"/>
      <c r="L63" s="314"/>
      <c r="M63" s="314"/>
      <c r="N63" s="314"/>
      <c r="O63" s="314"/>
      <c r="P63" s="426"/>
    </row>
    <row r="64" spans="2:16">
      <c r="B64" s="348"/>
      <c r="C64" s="661" t="str">
        <f>"   Net Transmission Plant  (Projected TCOS, ln "&amp;TCOS!B79&amp;")"</f>
        <v xml:space="preserve">   Net Transmission Plant  (Projected TCOS, ln 33)</v>
      </c>
      <c r="D64" s="539"/>
      <c r="E64" s="314"/>
      <c r="G64" s="710">
        <f>TCOS!L79</f>
        <v>135759268.2224353</v>
      </c>
      <c r="H64" s="962"/>
      <c r="I64" s="714"/>
      <c r="J64" s="426"/>
      <c r="K64" s="314"/>
      <c r="L64" s="314"/>
      <c r="M64" s="314"/>
      <c r="N64" s="314"/>
      <c r="O64" s="314"/>
      <c r="P64" s="426"/>
    </row>
    <row r="65" spans="2:17">
      <c r="B65" s="348"/>
      <c r="C65" s="726" t="str">
        <f>"   Annual Revenue Requirement, with "&amp;F17&amp;" Basis Point ROE increase"</f>
        <v xml:space="preserve">   Annual Revenue Requirement, with 0 Basis Point ROE increase</v>
      </c>
      <c r="D65" s="539"/>
      <c r="E65" s="314"/>
      <c r="G65" s="710">
        <f>G58</f>
        <v>20966885.16953072</v>
      </c>
      <c r="H65" s="962"/>
      <c r="I65" s="714"/>
      <c r="J65" s="426"/>
      <c r="K65" s="314"/>
      <c r="L65" s="314"/>
      <c r="M65" s="314"/>
      <c r="N65" s="314"/>
      <c r="O65" s="314"/>
      <c r="P65" s="426"/>
    </row>
    <row r="66" spans="2:17">
      <c r="B66" s="348"/>
      <c r="C66" s="726" t="str">
        <f>"   FCR with "&amp;F17&amp;" Basis Point increase in ROE"</f>
        <v xml:space="preserve">   FCR with 0 Basis Point increase in ROE</v>
      </c>
      <c r="D66" s="539"/>
      <c r="E66" s="314"/>
      <c r="G66" s="708">
        <f>IF(G64=0,0,G65/G64)</f>
        <v>0.15444164839764343</v>
      </c>
      <c r="H66" s="964"/>
      <c r="I66" s="714"/>
      <c r="J66" s="426"/>
      <c r="K66" s="314"/>
      <c r="L66" s="314"/>
      <c r="M66" s="314"/>
      <c r="N66" s="314"/>
      <c r="O66" s="314"/>
      <c r="P66" s="426"/>
    </row>
    <row r="67" spans="2:17">
      <c r="B67" s="348"/>
      <c r="C67" s="209"/>
      <c r="D67" s="539"/>
      <c r="E67" s="314"/>
      <c r="G67" s="348"/>
      <c r="H67" s="954"/>
      <c r="I67" s="714"/>
      <c r="J67" s="426"/>
      <c r="K67" s="314"/>
      <c r="L67" s="314"/>
      <c r="M67" s="314"/>
      <c r="N67" s="314"/>
      <c r="O67" s="314"/>
      <c r="P67" s="426"/>
    </row>
    <row r="68" spans="2:17">
      <c r="B68" s="348"/>
      <c r="C68" s="726" t="str">
        <f>"   Annual Rev. Req, w / "&amp;F17&amp;" Basis Point ROE increase, less Dep."</f>
        <v xml:space="preserve">   Annual Rev. Req, w / 0 Basis Point ROE increase, less Dep.</v>
      </c>
      <c r="D68" s="539"/>
      <c r="E68" s="314"/>
      <c r="G68" s="710">
        <f>G60</f>
        <v>16917308.687302381</v>
      </c>
      <c r="H68" s="962"/>
      <c r="I68" s="714"/>
      <c r="J68" s="426"/>
      <c r="K68" s="314"/>
      <c r="L68" s="314"/>
      <c r="M68" s="314"/>
      <c r="N68" s="314"/>
      <c r="O68" s="314"/>
      <c r="P68" s="426"/>
    </row>
    <row r="69" spans="2:17">
      <c r="B69" s="348"/>
      <c r="C69" s="726" t="str">
        <f>"   FCR with "&amp;F17&amp;" Basis Point ROE increase, less Depreciation"</f>
        <v xml:space="preserve">   FCR with 0 Basis Point ROE increase, less Depreciation</v>
      </c>
      <c r="D69" s="539"/>
      <c r="E69" s="314"/>
      <c r="G69" s="708">
        <f>IF(G64=0,0,G68/G64)</f>
        <v>0.12461255064799076</v>
      </c>
      <c r="H69" s="964"/>
      <c r="I69" s="729"/>
      <c r="J69" s="426"/>
      <c r="K69" s="314"/>
      <c r="L69" s="314"/>
      <c r="M69" s="314"/>
      <c r="N69" s="314"/>
      <c r="O69" s="314"/>
      <c r="P69" s="426"/>
    </row>
    <row r="70" spans="2:17">
      <c r="B70" s="348"/>
      <c r="C70" s="661" t="str">
        <f>"   FCR less Depreciation  (TCOS, ln "&amp;TCOS!B31&amp;")"</f>
        <v xml:space="preserve">   FCR less Depreciation  (TCOS, ln 10)</v>
      </c>
      <c r="D70" s="539"/>
      <c r="E70" s="314"/>
      <c r="G70" s="730">
        <f>TCOS!L31</f>
        <v>0.12461255064799079</v>
      </c>
      <c r="H70" s="965"/>
      <c r="I70" s="729"/>
      <c r="J70" s="426"/>
      <c r="K70" s="314"/>
      <c r="L70" s="314"/>
      <c r="M70" s="314"/>
      <c r="N70" s="314"/>
      <c r="O70" s="314"/>
      <c r="P70" s="426"/>
    </row>
    <row r="71" spans="2:17">
      <c r="B71" s="348"/>
      <c r="C71" s="726" t="str">
        <f>"   Incremental FCR with "&amp;F17&amp;" Basis Point ROE increase, less Depreciation"</f>
        <v xml:space="preserve">   Incremental FCR with 0 Basis Point ROE increase, less Depreciation</v>
      </c>
      <c r="D71" s="539"/>
      <c r="E71" s="314"/>
      <c r="G71" s="708">
        <f>G69-G70</f>
        <v>0</v>
      </c>
      <c r="H71" s="964"/>
      <c r="I71" s="714"/>
      <c r="J71" s="426"/>
      <c r="K71" s="314"/>
      <c r="L71" s="314"/>
      <c r="M71" s="314"/>
      <c r="N71" s="314"/>
      <c r="O71" s="314"/>
      <c r="P71" s="426"/>
    </row>
    <row r="72" spans="2:17">
      <c r="B72" s="348"/>
      <c r="C72" s="726"/>
      <c r="D72" s="539"/>
      <c r="E72" s="314"/>
      <c r="F72" s="708"/>
      <c r="G72" s="314"/>
      <c r="H72" s="963"/>
      <c r="I72" s="314"/>
      <c r="J72" s="426"/>
      <c r="K72" s="314"/>
      <c r="L72" s="314"/>
      <c r="M72" s="314"/>
      <c r="N72" s="314"/>
      <c r="O72" s="314"/>
      <c r="P72" s="426"/>
    </row>
    <row r="73" spans="2:17" ht="18.75">
      <c r="B73" s="658" t="s">
        <v>463</v>
      </c>
      <c r="C73" s="657" t="s">
        <v>63</v>
      </c>
      <c r="D73" s="539"/>
      <c r="E73" s="314"/>
      <c r="F73" s="708"/>
      <c r="G73" s="314"/>
      <c r="H73" s="963"/>
      <c r="I73" s="314"/>
      <c r="J73" s="426"/>
      <c r="K73" s="314"/>
      <c r="L73" s="314"/>
      <c r="M73" s="314"/>
      <c r="N73" s="314"/>
      <c r="O73" s="314"/>
      <c r="P73" s="426"/>
    </row>
    <row r="74" spans="2:17">
      <c r="B74" s="348"/>
      <c r="C74" s="726"/>
      <c r="D74" s="539"/>
      <c r="E74" s="314"/>
      <c r="F74" s="708"/>
      <c r="G74" s="314"/>
      <c r="H74" s="963"/>
      <c r="I74" s="314"/>
      <c r="J74" s="426"/>
      <c r="K74" s="314"/>
      <c r="L74" s="314"/>
      <c r="M74" s="314"/>
      <c r="N74" s="314"/>
      <c r="O74" s="314"/>
      <c r="P74" s="426"/>
    </row>
    <row r="75" spans="2:17">
      <c r="B75" s="348"/>
      <c r="C75" s="726" t="str">
        <f>+"Average Transmission Plant Balance for "&amp;TCOS!L4&amp;" TCOS, ln "&amp;TCOS!B63</f>
        <v>Average Transmission Plant Balance for 2025 TCOS, ln 19</v>
      </c>
      <c r="D75" s="1250"/>
      <c r="E75" s="348"/>
      <c r="F75" s="348"/>
      <c r="G75" s="489">
        <f>TCOS!L63</f>
        <v>150942714.51016599</v>
      </c>
      <c r="I75" s="314"/>
      <c r="J75" s="426"/>
      <c r="K75" s="731"/>
      <c r="L75" s="314"/>
      <c r="M75" s="314"/>
      <c r="N75" s="314"/>
      <c r="O75" s="314"/>
      <c r="P75" s="426"/>
    </row>
    <row r="76" spans="2:17">
      <c r="B76" s="348"/>
      <c r="C76" s="726" t="str">
        <f>"Annual Depreciation and Amortization Expense (TCOS, ln "&amp;TCOS!B154&amp;")"</f>
        <v>Annual Depreciation and Amortization Expense (TCOS, ln 83)</v>
      </c>
      <c r="D76" s="539"/>
      <c r="E76" s="314"/>
      <c r="G76" s="489">
        <f>TCOS!L154</f>
        <v>4049576.4822283401</v>
      </c>
      <c r="H76" s="709"/>
      <c r="I76" s="314"/>
      <c r="J76" s="426"/>
      <c r="K76" s="314"/>
      <c r="L76" s="314"/>
      <c r="M76" s="314"/>
      <c r="N76" s="314"/>
      <c r="O76" s="314"/>
      <c r="P76" s="426"/>
    </row>
    <row r="77" spans="2:17" ht="12.75" customHeight="1">
      <c r="B77" s="348"/>
      <c r="C77" s="726" t="s">
        <v>64</v>
      </c>
      <c r="D77" s="539"/>
      <c r="E77" s="314"/>
      <c r="G77" s="903">
        <f>G76/G75</f>
        <v>2.6828565362494533E-2</v>
      </c>
      <c r="H77" s="732"/>
      <c r="I77" s="154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541"/>
      <c r="K77" s="1541"/>
      <c r="L77" s="1541"/>
      <c r="M77" s="1541"/>
      <c r="N77" s="1541"/>
      <c r="O77" s="1541"/>
      <c r="P77" s="659"/>
      <c r="Q77" s="659"/>
    </row>
    <row r="78" spans="2:17">
      <c r="B78" s="348"/>
      <c r="C78" s="726" t="s">
        <v>65</v>
      </c>
      <c r="D78" s="539"/>
      <c r="E78" s="314"/>
      <c r="G78" s="733">
        <f>IF(G77=0,0,1/G77)</f>
        <v>37.273703848434913</v>
      </c>
      <c r="H78" s="709"/>
      <c r="I78" s="1541"/>
      <c r="J78" s="1541"/>
      <c r="K78" s="1541"/>
      <c r="L78" s="1541"/>
      <c r="M78" s="1541"/>
      <c r="N78" s="1541"/>
      <c r="O78" s="1541"/>
      <c r="P78" s="659"/>
      <c r="Q78" s="659"/>
    </row>
    <row r="79" spans="2:17">
      <c r="B79" s="348"/>
      <c r="C79" s="726" t="s">
        <v>588</v>
      </c>
      <c r="D79" s="539"/>
      <c r="E79" s="314"/>
      <c r="G79" s="734">
        <f>ROUND(G78,0)</f>
        <v>37</v>
      </c>
      <c r="H79" s="709"/>
      <c r="I79" s="1541"/>
      <c r="J79" s="1541"/>
      <c r="K79" s="1541"/>
      <c r="L79" s="1541"/>
      <c r="M79" s="1541"/>
      <c r="N79" s="1541"/>
      <c r="O79" s="1541"/>
      <c r="P79" s="659"/>
      <c r="Q79" s="659"/>
    </row>
    <row r="80" spans="2:17">
      <c r="B80" s="348"/>
      <c r="C80" s="726"/>
      <c r="D80" s="539"/>
      <c r="E80" s="314"/>
      <c r="G80" s="735"/>
      <c r="H80" s="709"/>
      <c r="I80" s="1541"/>
      <c r="J80" s="1541"/>
      <c r="K80" s="1541"/>
      <c r="L80" s="1541"/>
      <c r="M80" s="1541"/>
      <c r="N80" s="1541"/>
      <c r="O80" s="1541"/>
    </row>
    <row r="81" spans="1:16">
      <c r="C81" s="736"/>
      <c r="D81" s="737"/>
      <c r="E81" s="737"/>
      <c r="F81" s="737"/>
      <c r="G81" s="731"/>
      <c r="H81" s="731"/>
    </row>
    <row r="82" spans="1:16" ht="20.25">
      <c r="A82" s="738" t="str">
        <f>""&amp;A6&amp;" Worksheet J -  ATRR PROJECTED Calculation for PJM Projects Charged to Benefiting Zones"</f>
        <v>AEP Appalachian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2</v>
      </c>
      <c r="P82" s="739">
        <v>1</v>
      </c>
    </row>
    <row r="83" spans="1:16">
      <c r="B83" s="348"/>
      <c r="C83" s="314"/>
      <c r="D83" s="539"/>
      <c r="E83" s="314"/>
      <c r="F83" s="314"/>
      <c r="G83" s="314"/>
      <c r="H83" s="709"/>
      <c r="I83" s="314"/>
      <c r="J83" s="426"/>
      <c r="K83" s="314"/>
      <c r="L83" s="314"/>
      <c r="M83" s="314"/>
      <c r="N83" s="314"/>
      <c r="O83" s="314"/>
      <c r="P83" s="426"/>
    </row>
    <row r="84" spans="1:16" ht="18">
      <c r="B84" s="658" t="s">
        <v>464</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6"/>
      <c r="K88" s="741" t="s">
        <v>91</v>
      </c>
      <c r="L88" s="742"/>
      <c r="M88" s="743"/>
      <c r="N88" s="744">
        <v>0</v>
      </c>
      <c r="O88" s="314"/>
    </row>
    <row r="89" spans="1:16" ht="15.75">
      <c r="C89" s="660"/>
      <c r="D89" s="539"/>
      <c r="E89" s="314"/>
      <c r="F89" s="314"/>
      <c r="G89" s="314"/>
      <c r="H89" s="745"/>
      <c r="I89" s="745"/>
      <c r="J89" s="746"/>
      <c r="K89" s="747" t="s">
        <v>92</v>
      </c>
      <c r="L89" s="748"/>
      <c r="M89" s="426"/>
      <c r="N89" s="749">
        <v>0</v>
      </c>
      <c r="O89" s="314"/>
    </row>
    <row r="90" spans="1:16" ht="13.5" thickBot="1">
      <c r="C90" s="750" t="s">
        <v>88</v>
      </c>
      <c r="D90" s="1536"/>
      <c r="E90" s="1536"/>
      <c r="F90" s="1536"/>
      <c r="G90" s="1536"/>
      <c r="H90" s="1536"/>
      <c r="I90" s="1536"/>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c r="E94" s="726" t="s">
        <v>68</v>
      </c>
      <c r="G94" s="766"/>
      <c r="H94" s="766"/>
      <c r="I94" s="767">
        <v>2017</v>
      </c>
      <c r="J94" s="555"/>
      <c r="K94" s="1538" t="s">
        <v>239</v>
      </c>
      <c r="L94" s="1538"/>
      <c r="M94" s="1538"/>
      <c r="N94" s="1538"/>
      <c r="O94" s="1538"/>
    </row>
    <row r="95" spans="1:16">
      <c r="C95" s="765" t="s">
        <v>70</v>
      </c>
      <c r="D95" s="810"/>
      <c r="E95" s="765" t="s">
        <v>71</v>
      </c>
      <c r="F95" s="766"/>
      <c r="H95" s="173"/>
      <c r="I95" s="811">
        <f>IF(G88="",0,$F$17)</f>
        <v>0</v>
      </c>
      <c r="J95" s="768"/>
      <c r="K95" s="731" t="s">
        <v>239</v>
      </c>
    </row>
    <row r="96" spans="1:16">
      <c r="C96" s="765" t="s">
        <v>72</v>
      </c>
      <c r="D96" s="809"/>
      <c r="E96" s="765" t="s">
        <v>73</v>
      </c>
      <c r="F96" s="766"/>
      <c r="H96" s="173"/>
      <c r="I96" s="769">
        <f>$G$70</f>
        <v>0.12461255064799079</v>
      </c>
      <c r="J96" s="770"/>
      <c r="K96" s="173" t="str">
        <f>"          INPUT PROJECTED ARR (WITH &amp; WITHOUT INCENTIVES) FROM EACH PRIOR YEAR"</f>
        <v xml:space="preserve">          INPUT PROJECTED ARR (WITH &amp; WITHOUT INCENTIVES) FROM EACH PRIOR YEAR</v>
      </c>
    </row>
    <row r="97" spans="2:15">
      <c r="C97" s="765" t="s">
        <v>74</v>
      </c>
      <c r="D97" s="771">
        <f>$G$79</f>
        <v>37</v>
      </c>
      <c r="E97" s="765" t="s">
        <v>75</v>
      </c>
      <c r="F97" s="766"/>
      <c r="H97" s="173"/>
      <c r="I97" s="769">
        <f>IF(G88="",I96,$G$69)</f>
        <v>0.12461255064799079</v>
      </c>
      <c r="J97" s="772"/>
      <c r="K97" s="173" t="s">
        <v>152</v>
      </c>
    </row>
    <row r="98" spans="2:15" ht="13.5" thickBot="1">
      <c r="C98" s="765" t="s">
        <v>76</v>
      </c>
      <c r="D98" s="808"/>
      <c r="E98" s="773" t="s">
        <v>77</v>
      </c>
      <c r="F98" s="774"/>
      <c r="G98" s="775"/>
      <c r="H98" s="775"/>
      <c r="I98" s="753">
        <f>IF(D94=0,0,D94/D97)</f>
        <v>0</v>
      </c>
      <c r="J98" s="731"/>
      <c r="K98" s="731" t="s">
        <v>158</v>
      </c>
      <c r="L98" s="731"/>
      <c r="M98" s="731"/>
      <c r="N98" s="731"/>
      <c r="O98" s="426"/>
    </row>
    <row r="99" spans="2:15" ht="51">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467</v>
      </c>
      <c r="D100" s="783" t="s">
        <v>468</v>
      </c>
      <c r="E100" s="782" t="s">
        <v>361</v>
      </c>
      <c r="F100" s="783" t="s">
        <v>468</v>
      </c>
      <c r="G100" s="784" t="s">
        <v>93</v>
      </c>
      <c r="H100" s="785" t="s">
        <v>95</v>
      </c>
      <c r="I100" s="786" t="s">
        <v>15</v>
      </c>
      <c r="J100" s="787"/>
      <c r="K100" s="784" t="s">
        <v>82</v>
      </c>
      <c r="L100" s="788"/>
      <c r="M100" s="784" t="s">
        <v>95</v>
      </c>
      <c r="N100" s="788"/>
      <c r="O100" s="788"/>
    </row>
    <row r="101" spans="2:15">
      <c r="C101" s="789" t="str">
        <f>IF(D95= "","-",D95)</f>
        <v>-</v>
      </c>
      <c r="D101" s="737">
        <f>+D94</f>
        <v>0</v>
      </c>
      <c r="E101" s="790">
        <f>+I98/12*(12-D96)</f>
        <v>0</v>
      </c>
      <c r="F101" s="737">
        <f>+D101-E101</f>
        <v>0</v>
      </c>
      <c r="G101" s="998">
        <f>+$I$96*((D101+F101)/2)+E101</f>
        <v>0</v>
      </c>
      <c r="H101" s="999">
        <f>$I$97*((D101+F101)/2)+E101</f>
        <v>0</v>
      </c>
      <c r="I101" s="793">
        <f>+H101-G101</f>
        <v>0</v>
      </c>
      <c r="J101" s="793"/>
      <c r="K101" s="812"/>
      <c r="L101" s="794"/>
      <c r="M101" s="812"/>
      <c r="N101" s="794"/>
      <c r="O101" s="794"/>
    </row>
    <row r="102" spans="2:15">
      <c r="C102" s="789" t="str">
        <f>IF(D95="","-",+C101+1)</f>
        <v>-</v>
      </c>
      <c r="D102" s="737">
        <f t="shared" ref="D102:D160" si="0">F101</f>
        <v>0</v>
      </c>
      <c r="E102" s="790">
        <f>IF(D102&gt;$I$98,$I$98,D102)</f>
        <v>0</v>
      </c>
      <c r="F102" s="737">
        <f t="shared" ref="F102:F160" si="1">+D102-E102</f>
        <v>0</v>
      </c>
      <c r="G102" s="795">
        <f t="shared" ref="G102:G160" si="2">+$I$96*((D102+F102)/2)+E102</f>
        <v>0</v>
      </c>
      <c r="H102" s="796">
        <f t="shared" ref="H102:H160" si="3">$I$97*((D102+F102)/2)+E102</f>
        <v>0</v>
      </c>
      <c r="I102" s="793">
        <f t="shared" ref="I102:I160" si="4">+H102-G102</f>
        <v>0</v>
      </c>
      <c r="J102" s="793"/>
      <c r="K102" s="813"/>
      <c r="L102" s="797"/>
      <c r="M102" s="813"/>
      <c r="N102" s="797"/>
      <c r="O102" s="797"/>
    </row>
    <row r="103" spans="2:15">
      <c r="C103" s="789" t="str">
        <f>IF(D95="","-",+C102+1)</f>
        <v>-</v>
      </c>
      <c r="D103" s="737">
        <f t="shared" si="0"/>
        <v>0</v>
      </c>
      <c r="E103" s="790">
        <f t="shared" ref="E103:E160" si="5">IF(D103&gt;$I$98,$I$98,D103)</f>
        <v>0</v>
      </c>
      <c r="F103" s="737">
        <f t="shared" si="1"/>
        <v>0</v>
      </c>
      <c r="G103" s="795">
        <f t="shared" si="2"/>
        <v>0</v>
      </c>
      <c r="H103" s="796">
        <f t="shared" si="3"/>
        <v>0</v>
      </c>
      <c r="I103" s="793">
        <f t="shared" si="4"/>
        <v>0</v>
      </c>
      <c r="J103" s="793"/>
      <c r="K103" s="813"/>
      <c r="L103" s="797"/>
      <c r="M103" s="813"/>
      <c r="N103" s="797"/>
      <c r="O103" s="797"/>
    </row>
    <row r="104" spans="2:15">
      <c r="C104" s="789" t="str">
        <f>IF(D95="","-",+C103+1)</f>
        <v>-</v>
      </c>
      <c r="D104" s="737">
        <f t="shared" si="0"/>
        <v>0</v>
      </c>
      <c r="E104" s="790">
        <f t="shared" si="5"/>
        <v>0</v>
      </c>
      <c r="F104" s="737">
        <f t="shared" si="1"/>
        <v>0</v>
      </c>
      <c r="G104" s="795">
        <f t="shared" si="2"/>
        <v>0</v>
      </c>
      <c r="H104" s="796">
        <f t="shared" si="3"/>
        <v>0</v>
      </c>
      <c r="I104" s="793">
        <f t="shared" si="4"/>
        <v>0</v>
      </c>
      <c r="J104" s="793"/>
      <c r="K104" s="813"/>
      <c r="L104" s="797"/>
      <c r="M104" s="813"/>
      <c r="N104" s="797"/>
      <c r="O104" s="797"/>
    </row>
    <row r="105" spans="2:15">
      <c r="C105" s="789" t="str">
        <f>IF(D95="","-",+C104+1)</f>
        <v>-</v>
      </c>
      <c r="D105" s="737">
        <f t="shared" si="0"/>
        <v>0</v>
      </c>
      <c r="E105" s="790">
        <f t="shared" si="5"/>
        <v>0</v>
      </c>
      <c r="F105" s="737">
        <f t="shared" si="1"/>
        <v>0</v>
      </c>
      <c r="G105" s="795">
        <f t="shared" si="2"/>
        <v>0</v>
      </c>
      <c r="H105" s="796">
        <f t="shared" si="3"/>
        <v>0</v>
      </c>
      <c r="I105" s="793">
        <f t="shared" si="4"/>
        <v>0</v>
      </c>
      <c r="J105" s="793"/>
      <c r="K105" s="813"/>
      <c r="L105" s="797"/>
      <c r="M105" s="813"/>
      <c r="N105" s="797"/>
      <c r="O105" s="797"/>
    </row>
    <row r="106" spans="2:15">
      <c r="C106" s="789" t="str">
        <f>IF(D95="","-",+C105+1)</f>
        <v>-</v>
      </c>
      <c r="D106" s="737">
        <f t="shared" si="0"/>
        <v>0</v>
      </c>
      <c r="E106" s="790">
        <f t="shared" si="5"/>
        <v>0</v>
      </c>
      <c r="F106" s="737">
        <f t="shared" si="1"/>
        <v>0</v>
      </c>
      <c r="G106" s="795">
        <f t="shared" si="2"/>
        <v>0</v>
      </c>
      <c r="H106" s="796">
        <f t="shared" si="3"/>
        <v>0</v>
      </c>
      <c r="I106" s="793">
        <f t="shared" si="4"/>
        <v>0</v>
      </c>
      <c r="J106" s="793"/>
      <c r="K106" s="813"/>
      <c r="L106" s="797"/>
      <c r="M106" s="813"/>
      <c r="N106" s="797"/>
      <c r="O106" s="797"/>
    </row>
    <row r="107" spans="2:15">
      <c r="C107" s="789" t="str">
        <f>IF(D95="","-",+C106+1)</f>
        <v>-</v>
      </c>
      <c r="D107" s="737">
        <f t="shared" si="0"/>
        <v>0</v>
      </c>
      <c r="E107" s="790">
        <f t="shared" si="5"/>
        <v>0</v>
      </c>
      <c r="F107" s="737">
        <f t="shared" si="1"/>
        <v>0</v>
      </c>
      <c r="G107" s="795">
        <f t="shared" si="2"/>
        <v>0</v>
      </c>
      <c r="H107" s="796">
        <f t="shared" si="3"/>
        <v>0</v>
      </c>
      <c r="I107" s="793">
        <f t="shared" si="4"/>
        <v>0</v>
      </c>
      <c r="J107" s="793"/>
      <c r="K107" s="813"/>
      <c r="L107" s="797"/>
      <c r="M107" s="813"/>
      <c r="N107" s="797"/>
      <c r="O107" s="797"/>
    </row>
    <row r="108" spans="2:15">
      <c r="C108" s="789" t="str">
        <f>IF(D95="","-",+C107+1)</f>
        <v>-</v>
      </c>
      <c r="D108" s="737">
        <f t="shared" si="0"/>
        <v>0</v>
      </c>
      <c r="E108" s="790">
        <f t="shared" si="5"/>
        <v>0</v>
      </c>
      <c r="F108" s="737">
        <f t="shared" si="1"/>
        <v>0</v>
      </c>
      <c r="G108" s="795">
        <f t="shared" si="2"/>
        <v>0</v>
      </c>
      <c r="H108" s="796">
        <f t="shared" si="3"/>
        <v>0</v>
      </c>
      <c r="I108" s="793">
        <f t="shared" si="4"/>
        <v>0</v>
      </c>
      <c r="J108" s="793"/>
      <c r="K108" s="813"/>
      <c r="L108" s="797"/>
      <c r="M108" s="813"/>
      <c r="N108" s="797"/>
      <c r="O108" s="797"/>
    </row>
    <row r="109" spans="2:15">
      <c r="C109" s="789" t="str">
        <f>IF(D95="","-",+C108+1)</f>
        <v>-</v>
      </c>
      <c r="D109" s="737">
        <f t="shared" si="0"/>
        <v>0</v>
      </c>
      <c r="E109" s="790">
        <f t="shared" si="5"/>
        <v>0</v>
      </c>
      <c r="F109" s="737">
        <f t="shared" si="1"/>
        <v>0</v>
      </c>
      <c r="G109" s="795">
        <f t="shared" si="2"/>
        <v>0</v>
      </c>
      <c r="H109" s="796">
        <f t="shared" si="3"/>
        <v>0</v>
      </c>
      <c r="I109" s="793">
        <f t="shared" si="4"/>
        <v>0</v>
      </c>
      <c r="J109" s="793"/>
      <c r="K109" s="813"/>
      <c r="L109" s="797"/>
      <c r="M109" s="813"/>
      <c r="N109" s="797"/>
      <c r="O109" s="797"/>
    </row>
    <row r="110" spans="2:15">
      <c r="C110" s="789" t="str">
        <f>IF(D95="","-",+C109+1)</f>
        <v>-</v>
      </c>
      <c r="D110" s="737">
        <f t="shared" si="0"/>
        <v>0</v>
      </c>
      <c r="E110" s="790">
        <f t="shared" si="5"/>
        <v>0</v>
      </c>
      <c r="F110" s="737">
        <f t="shared" si="1"/>
        <v>0</v>
      </c>
      <c r="G110" s="795">
        <f t="shared" si="2"/>
        <v>0</v>
      </c>
      <c r="H110" s="796">
        <f t="shared" si="3"/>
        <v>0</v>
      </c>
      <c r="I110" s="793">
        <f t="shared" si="4"/>
        <v>0</v>
      </c>
      <c r="J110" s="793"/>
      <c r="K110" s="813"/>
      <c r="L110" s="797"/>
      <c r="M110" s="813"/>
      <c r="N110" s="797"/>
      <c r="O110" s="797"/>
    </row>
    <row r="111" spans="2:15">
      <c r="C111" s="789" t="str">
        <f>IF(D95="","-",+C110+1)</f>
        <v>-</v>
      </c>
      <c r="D111" s="737">
        <f t="shared" si="0"/>
        <v>0</v>
      </c>
      <c r="E111" s="790">
        <f t="shared" si="5"/>
        <v>0</v>
      </c>
      <c r="F111" s="737">
        <f t="shared" si="1"/>
        <v>0</v>
      </c>
      <c r="G111" s="795">
        <f t="shared" si="2"/>
        <v>0</v>
      </c>
      <c r="H111" s="796">
        <f t="shared" si="3"/>
        <v>0</v>
      </c>
      <c r="I111" s="793">
        <f t="shared" si="4"/>
        <v>0</v>
      </c>
      <c r="J111" s="793"/>
      <c r="K111" s="813"/>
      <c r="L111" s="797"/>
      <c r="M111" s="813"/>
      <c r="N111" s="797"/>
      <c r="O111" s="797"/>
    </row>
    <row r="112" spans="2:15">
      <c r="C112" s="789" t="str">
        <f>IF(D95="","-",+C111+1)</f>
        <v>-</v>
      </c>
      <c r="D112" s="737">
        <f t="shared" si="0"/>
        <v>0</v>
      </c>
      <c r="E112" s="790">
        <f t="shared" si="5"/>
        <v>0</v>
      </c>
      <c r="F112" s="737">
        <f t="shared" si="1"/>
        <v>0</v>
      </c>
      <c r="G112" s="795">
        <f t="shared" si="2"/>
        <v>0</v>
      </c>
      <c r="H112" s="796">
        <f t="shared" si="3"/>
        <v>0</v>
      </c>
      <c r="I112" s="793">
        <f t="shared" si="4"/>
        <v>0</v>
      </c>
      <c r="J112" s="793"/>
      <c r="K112" s="813"/>
      <c r="L112" s="797"/>
      <c r="M112" s="813"/>
      <c r="N112" s="797"/>
      <c r="O112" s="797"/>
    </row>
    <row r="113" spans="3:15">
      <c r="C113" s="789" t="str">
        <f>IF(D95="","-",+C112+1)</f>
        <v>-</v>
      </c>
      <c r="D113" s="737">
        <f t="shared" si="0"/>
        <v>0</v>
      </c>
      <c r="E113" s="790">
        <f t="shared" si="5"/>
        <v>0</v>
      </c>
      <c r="F113" s="737">
        <f t="shared" si="1"/>
        <v>0</v>
      </c>
      <c r="G113" s="795">
        <f t="shared" si="2"/>
        <v>0</v>
      </c>
      <c r="H113" s="796">
        <f t="shared" si="3"/>
        <v>0</v>
      </c>
      <c r="I113" s="793">
        <f t="shared" si="4"/>
        <v>0</v>
      </c>
      <c r="J113" s="793"/>
      <c r="K113" s="813"/>
      <c r="L113" s="797"/>
      <c r="M113" s="813"/>
      <c r="N113" s="798"/>
      <c r="O113" s="797"/>
    </row>
    <row r="114" spans="3:15">
      <c r="C114" s="789" t="str">
        <f>IF(D95="","-",+C113+1)</f>
        <v>-</v>
      </c>
      <c r="D114" s="737">
        <f t="shared" si="0"/>
        <v>0</v>
      </c>
      <c r="E114" s="790">
        <f t="shared" si="5"/>
        <v>0</v>
      </c>
      <c r="F114" s="737">
        <f t="shared" si="1"/>
        <v>0</v>
      </c>
      <c r="G114" s="795">
        <f t="shared" si="2"/>
        <v>0</v>
      </c>
      <c r="H114" s="796">
        <f t="shared" si="3"/>
        <v>0</v>
      </c>
      <c r="I114" s="793">
        <f t="shared" si="4"/>
        <v>0</v>
      </c>
      <c r="J114" s="793"/>
      <c r="K114" s="813"/>
      <c r="L114" s="797"/>
      <c r="M114" s="813"/>
      <c r="N114" s="797"/>
      <c r="O114" s="797"/>
    </row>
    <row r="115" spans="3:15">
      <c r="C115" s="789" t="str">
        <f>IF(D95="","-",+C114+1)</f>
        <v>-</v>
      </c>
      <c r="D115" s="737">
        <f t="shared" si="0"/>
        <v>0</v>
      </c>
      <c r="E115" s="790">
        <f t="shared" si="5"/>
        <v>0</v>
      </c>
      <c r="F115" s="737">
        <f t="shared" si="1"/>
        <v>0</v>
      </c>
      <c r="G115" s="795">
        <f t="shared" si="2"/>
        <v>0</v>
      </c>
      <c r="H115" s="796">
        <f t="shared" si="3"/>
        <v>0</v>
      </c>
      <c r="I115" s="793">
        <f t="shared" si="4"/>
        <v>0</v>
      </c>
      <c r="J115" s="793"/>
      <c r="K115" s="813"/>
      <c r="L115" s="797"/>
      <c r="M115" s="813"/>
      <c r="N115" s="797"/>
      <c r="O115" s="797"/>
    </row>
    <row r="116" spans="3:15">
      <c r="C116" s="789" t="str">
        <f>IF(D95="","-",+C115+1)</f>
        <v>-</v>
      </c>
      <c r="D116" s="737">
        <f t="shared" si="0"/>
        <v>0</v>
      </c>
      <c r="E116" s="790">
        <f t="shared" si="5"/>
        <v>0</v>
      </c>
      <c r="F116" s="737">
        <f t="shared" si="1"/>
        <v>0</v>
      </c>
      <c r="G116" s="795">
        <f t="shared" si="2"/>
        <v>0</v>
      </c>
      <c r="H116" s="796">
        <f t="shared" si="3"/>
        <v>0</v>
      </c>
      <c r="I116" s="793">
        <f t="shared" si="4"/>
        <v>0</v>
      </c>
      <c r="J116" s="793"/>
      <c r="K116" s="813"/>
      <c r="L116" s="797"/>
      <c r="M116" s="813"/>
      <c r="N116" s="797"/>
      <c r="O116" s="797"/>
    </row>
    <row r="117" spans="3:15">
      <c r="C117" s="789" t="str">
        <f>IF(D95="","-",+C116+1)</f>
        <v>-</v>
      </c>
      <c r="D117" s="737">
        <f t="shared" si="0"/>
        <v>0</v>
      </c>
      <c r="E117" s="790">
        <f t="shared" si="5"/>
        <v>0</v>
      </c>
      <c r="F117" s="737">
        <f t="shared" si="1"/>
        <v>0</v>
      </c>
      <c r="G117" s="795">
        <f t="shared" si="2"/>
        <v>0</v>
      </c>
      <c r="H117" s="796">
        <f t="shared" si="3"/>
        <v>0</v>
      </c>
      <c r="I117" s="793">
        <f t="shared" si="4"/>
        <v>0</v>
      </c>
      <c r="J117" s="793"/>
      <c r="K117" s="813"/>
      <c r="L117" s="797"/>
      <c r="M117" s="813"/>
      <c r="N117" s="797"/>
      <c r="O117" s="797"/>
    </row>
    <row r="118" spans="3:15">
      <c r="C118" s="789" t="str">
        <f>IF(D95="","-",+C117+1)</f>
        <v>-</v>
      </c>
      <c r="D118" s="737">
        <f t="shared" si="0"/>
        <v>0</v>
      </c>
      <c r="E118" s="790">
        <f t="shared" si="5"/>
        <v>0</v>
      </c>
      <c r="F118" s="737">
        <f t="shared" si="1"/>
        <v>0</v>
      </c>
      <c r="G118" s="795">
        <f t="shared" si="2"/>
        <v>0</v>
      </c>
      <c r="H118" s="796">
        <f t="shared" si="3"/>
        <v>0</v>
      </c>
      <c r="I118" s="793">
        <f t="shared" si="4"/>
        <v>0</v>
      </c>
      <c r="J118" s="793"/>
      <c r="K118" s="813"/>
      <c r="L118" s="797"/>
      <c r="M118" s="813"/>
      <c r="N118" s="797"/>
      <c r="O118" s="797"/>
    </row>
    <row r="119" spans="3:15">
      <c r="C119" s="789" t="str">
        <f>IF(D95="","-",+C118+1)</f>
        <v>-</v>
      </c>
      <c r="D119" s="737">
        <f t="shared" si="0"/>
        <v>0</v>
      </c>
      <c r="E119" s="790">
        <f t="shared" si="5"/>
        <v>0</v>
      </c>
      <c r="F119" s="737">
        <f t="shared" si="1"/>
        <v>0</v>
      </c>
      <c r="G119" s="795">
        <f t="shared" si="2"/>
        <v>0</v>
      </c>
      <c r="H119" s="796">
        <f t="shared" si="3"/>
        <v>0</v>
      </c>
      <c r="I119" s="793">
        <f t="shared" si="4"/>
        <v>0</v>
      </c>
      <c r="J119" s="793"/>
      <c r="K119" s="813"/>
      <c r="L119" s="797"/>
      <c r="M119" s="813"/>
      <c r="N119" s="797"/>
      <c r="O119" s="797"/>
    </row>
    <row r="120" spans="3:15">
      <c r="C120" s="789" t="str">
        <f>IF(D95="","-",+C119+1)</f>
        <v>-</v>
      </c>
      <c r="D120" s="737">
        <f t="shared" si="0"/>
        <v>0</v>
      </c>
      <c r="E120" s="790">
        <f t="shared" si="5"/>
        <v>0</v>
      </c>
      <c r="F120" s="737">
        <f t="shared" si="1"/>
        <v>0</v>
      </c>
      <c r="G120" s="795">
        <f t="shared" si="2"/>
        <v>0</v>
      </c>
      <c r="H120" s="796">
        <f t="shared" si="3"/>
        <v>0</v>
      </c>
      <c r="I120" s="793">
        <f t="shared" si="4"/>
        <v>0</v>
      </c>
      <c r="J120" s="793"/>
      <c r="K120" s="813"/>
      <c r="L120" s="797"/>
      <c r="M120" s="813"/>
      <c r="N120" s="797"/>
      <c r="O120" s="797"/>
    </row>
    <row r="121" spans="3:15">
      <c r="C121" s="789" t="str">
        <f>IF(D95="","-",+C120+1)</f>
        <v>-</v>
      </c>
      <c r="D121" s="737">
        <f t="shared" si="0"/>
        <v>0</v>
      </c>
      <c r="E121" s="790">
        <f t="shared" si="5"/>
        <v>0</v>
      </c>
      <c r="F121" s="737">
        <f t="shared" si="1"/>
        <v>0</v>
      </c>
      <c r="G121" s="795">
        <f t="shared" si="2"/>
        <v>0</v>
      </c>
      <c r="H121" s="796">
        <f t="shared" si="3"/>
        <v>0</v>
      </c>
      <c r="I121" s="793">
        <f t="shared" si="4"/>
        <v>0</v>
      </c>
      <c r="J121" s="793"/>
      <c r="K121" s="813"/>
      <c r="L121" s="797"/>
      <c r="M121" s="813"/>
      <c r="N121" s="797"/>
      <c r="O121" s="797"/>
    </row>
    <row r="122" spans="3:15">
      <c r="C122" s="789" t="str">
        <f>IF(D95="","-",+C121+1)</f>
        <v>-</v>
      </c>
      <c r="D122" s="737">
        <f t="shared" si="0"/>
        <v>0</v>
      </c>
      <c r="E122" s="790">
        <f t="shared" si="5"/>
        <v>0</v>
      </c>
      <c r="F122" s="737">
        <f t="shared" si="1"/>
        <v>0</v>
      </c>
      <c r="G122" s="795">
        <f t="shared" si="2"/>
        <v>0</v>
      </c>
      <c r="H122" s="796">
        <f t="shared" si="3"/>
        <v>0</v>
      </c>
      <c r="I122" s="793">
        <f t="shared" si="4"/>
        <v>0</v>
      </c>
      <c r="J122" s="793"/>
      <c r="K122" s="813"/>
      <c r="L122" s="797"/>
      <c r="M122" s="813"/>
      <c r="N122" s="797"/>
      <c r="O122" s="797"/>
    </row>
    <row r="123" spans="3:15">
      <c r="C123" s="789" t="str">
        <f>IF(D95="","-",+C122+1)</f>
        <v>-</v>
      </c>
      <c r="D123" s="737">
        <f t="shared" si="0"/>
        <v>0</v>
      </c>
      <c r="E123" s="790">
        <f t="shared" si="5"/>
        <v>0</v>
      </c>
      <c r="F123" s="737">
        <f t="shared" si="1"/>
        <v>0</v>
      </c>
      <c r="G123" s="795">
        <f t="shared" si="2"/>
        <v>0</v>
      </c>
      <c r="H123" s="796">
        <f t="shared" si="3"/>
        <v>0</v>
      </c>
      <c r="I123" s="793">
        <f t="shared" si="4"/>
        <v>0</v>
      </c>
      <c r="J123" s="793"/>
      <c r="K123" s="813"/>
      <c r="L123" s="797"/>
      <c r="M123" s="813"/>
      <c r="N123" s="797"/>
      <c r="O123" s="797"/>
    </row>
    <row r="124" spans="3:15">
      <c r="C124" s="789" t="str">
        <f>IF(D95="","-",+C123+1)</f>
        <v>-</v>
      </c>
      <c r="D124" s="737">
        <f t="shared" si="0"/>
        <v>0</v>
      </c>
      <c r="E124" s="790">
        <f t="shared" si="5"/>
        <v>0</v>
      </c>
      <c r="F124" s="737">
        <f t="shared" si="1"/>
        <v>0</v>
      </c>
      <c r="G124" s="795">
        <f t="shared" si="2"/>
        <v>0</v>
      </c>
      <c r="H124" s="796">
        <f t="shared" si="3"/>
        <v>0</v>
      </c>
      <c r="I124" s="793">
        <f t="shared" si="4"/>
        <v>0</v>
      </c>
      <c r="J124" s="793"/>
      <c r="K124" s="813"/>
      <c r="L124" s="797"/>
      <c r="M124" s="813"/>
      <c r="N124" s="797"/>
      <c r="O124" s="797"/>
    </row>
    <row r="125" spans="3:15">
      <c r="C125" s="789" t="str">
        <f>IF(D95="","-",+C124+1)</f>
        <v>-</v>
      </c>
      <c r="D125" s="737">
        <f t="shared" si="0"/>
        <v>0</v>
      </c>
      <c r="E125" s="790">
        <f t="shared" si="5"/>
        <v>0</v>
      </c>
      <c r="F125" s="737">
        <f t="shared" si="1"/>
        <v>0</v>
      </c>
      <c r="G125" s="795">
        <f t="shared" si="2"/>
        <v>0</v>
      </c>
      <c r="H125" s="796">
        <f t="shared" si="3"/>
        <v>0</v>
      </c>
      <c r="I125" s="793">
        <f t="shared" si="4"/>
        <v>0</v>
      </c>
      <c r="J125" s="793"/>
      <c r="K125" s="813"/>
      <c r="L125" s="797"/>
      <c r="M125" s="813"/>
      <c r="N125" s="797"/>
      <c r="O125" s="797"/>
    </row>
    <row r="126" spans="3:15">
      <c r="C126" s="789" t="str">
        <f>IF(D95="","-",+C125+1)</f>
        <v>-</v>
      </c>
      <c r="D126" s="737">
        <f t="shared" si="0"/>
        <v>0</v>
      </c>
      <c r="E126" s="790">
        <f t="shared" si="5"/>
        <v>0</v>
      </c>
      <c r="F126" s="737">
        <f t="shared" si="1"/>
        <v>0</v>
      </c>
      <c r="G126" s="795">
        <f t="shared" si="2"/>
        <v>0</v>
      </c>
      <c r="H126" s="796">
        <f t="shared" si="3"/>
        <v>0</v>
      </c>
      <c r="I126" s="793">
        <f t="shared" si="4"/>
        <v>0</v>
      </c>
      <c r="J126" s="793"/>
      <c r="K126" s="813"/>
      <c r="L126" s="797"/>
      <c r="M126" s="813"/>
      <c r="N126" s="797"/>
      <c r="O126" s="797"/>
    </row>
    <row r="127" spans="3:15">
      <c r="C127" s="789" t="str">
        <f>IF(D95="","-",+C126+1)</f>
        <v>-</v>
      </c>
      <c r="D127" s="737">
        <f t="shared" si="0"/>
        <v>0</v>
      </c>
      <c r="E127" s="790">
        <f t="shared" si="5"/>
        <v>0</v>
      </c>
      <c r="F127" s="737">
        <f t="shared" si="1"/>
        <v>0</v>
      </c>
      <c r="G127" s="795">
        <f t="shared" si="2"/>
        <v>0</v>
      </c>
      <c r="H127" s="796">
        <f t="shared" si="3"/>
        <v>0</v>
      </c>
      <c r="I127" s="793">
        <f t="shared" si="4"/>
        <v>0</v>
      </c>
      <c r="J127" s="793"/>
      <c r="K127" s="813"/>
      <c r="L127" s="797"/>
      <c r="M127" s="813"/>
      <c r="N127" s="797"/>
      <c r="O127" s="797"/>
    </row>
    <row r="128" spans="3:15">
      <c r="C128" s="789" t="str">
        <f>IF(D95="","-",+C127+1)</f>
        <v>-</v>
      </c>
      <c r="D128" s="737">
        <f t="shared" si="0"/>
        <v>0</v>
      </c>
      <c r="E128" s="790">
        <f t="shared" si="5"/>
        <v>0</v>
      </c>
      <c r="F128" s="737">
        <f t="shared" si="1"/>
        <v>0</v>
      </c>
      <c r="G128" s="795">
        <f t="shared" si="2"/>
        <v>0</v>
      </c>
      <c r="H128" s="796">
        <f t="shared" si="3"/>
        <v>0</v>
      </c>
      <c r="I128" s="793">
        <f t="shared" si="4"/>
        <v>0</v>
      </c>
      <c r="J128" s="793"/>
      <c r="K128" s="813"/>
      <c r="L128" s="797"/>
      <c r="M128" s="813"/>
      <c r="N128" s="797"/>
      <c r="O128" s="797"/>
    </row>
    <row r="129" spans="3:15">
      <c r="C129" s="789" t="str">
        <f>IF(D95="","-",+C128+1)</f>
        <v>-</v>
      </c>
      <c r="D129" s="737">
        <f t="shared" si="0"/>
        <v>0</v>
      </c>
      <c r="E129" s="790">
        <f t="shared" si="5"/>
        <v>0</v>
      </c>
      <c r="F129" s="737">
        <f t="shared" si="1"/>
        <v>0</v>
      </c>
      <c r="G129" s="791">
        <f t="shared" si="2"/>
        <v>0</v>
      </c>
      <c r="H129" s="796">
        <f t="shared" si="3"/>
        <v>0</v>
      </c>
      <c r="I129" s="793">
        <f t="shared" si="4"/>
        <v>0</v>
      </c>
      <c r="J129" s="793"/>
      <c r="K129" s="813"/>
      <c r="L129" s="797"/>
      <c r="M129" s="813"/>
      <c r="N129" s="797"/>
      <c r="O129" s="797"/>
    </row>
    <row r="130" spans="3:15">
      <c r="C130" s="789" t="str">
        <f>IF(D95="","-",+C129+1)</f>
        <v>-</v>
      </c>
      <c r="D130" s="737">
        <f t="shared" si="0"/>
        <v>0</v>
      </c>
      <c r="E130" s="790">
        <f t="shared" si="5"/>
        <v>0</v>
      </c>
      <c r="F130" s="737">
        <f t="shared" si="1"/>
        <v>0</v>
      </c>
      <c r="G130" s="795">
        <f t="shared" si="2"/>
        <v>0</v>
      </c>
      <c r="H130" s="796">
        <f t="shared" si="3"/>
        <v>0</v>
      </c>
      <c r="I130" s="793">
        <f t="shared" si="4"/>
        <v>0</v>
      </c>
      <c r="J130" s="793"/>
      <c r="K130" s="813"/>
      <c r="L130" s="797"/>
      <c r="M130" s="813"/>
      <c r="N130" s="797"/>
      <c r="O130" s="797"/>
    </row>
    <row r="131" spans="3:15">
      <c r="C131" s="789" t="str">
        <f>IF(D95="","-",+C130+1)</f>
        <v>-</v>
      </c>
      <c r="D131" s="737">
        <f t="shared" si="0"/>
        <v>0</v>
      </c>
      <c r="E131" s="790">
        <f t="shared" si="5"/>
        <v>0</v>
      </c>
      <c r="F131" s="737">
        <f t="shared" si="1"/>
        <v>0</v>
      </c>
      <c r="G131" s="795">
        <f t="shared" si="2"/>
        <v>0</v>
      </c>
      <c r="H131" s="796">
        <f t="shared" si="3"/>
        <v>0</v>
      </c>
      <c r="I131" s="793">
        <f t="shared" si="4"/>
        <v>0</v>
      </c>
      <c r="J131" s="793"/>
      <c r="K131" s="813"/>
      <c r="L131" s="797"/>
      <c r="M131" s="813"/>
      <c r="N131" s="797"/>
      <c r="O131" s="797"/>
    </row>
    <row r="132" spans="3:15">
      <c r="C132" s="789" t="str">
        <f>IF(D95="","-",+C131+1)</f>
        <v>-</v>
      </c>
      <c r="D132" s="737">
        <f t="shared" si="0"/>
        <v>0</v>
      </c>
      <c r="E132" s="790">
        <f t="shared" si="5"/>
        <v>0</v>
      </c>
      <c r="F132" s="737">
        <f t="shared" si="1"/>
        <v>0</v>
      </c>
      <c r="G132" s="795">
        <f t="shared" si="2"/>
        <v>0</v>
      </c>
      <c r="H132" s="796">
        <f t="shared" si="3"/>
        <v>0</v>
      </c>
      <c r="I132" s="793">
        <f t="shared" si="4"/>
        <v>0</v>
      </c>
      <c r="J132" s="793"/>
      <c r="K132" s="813"/>
      <c r="L132" s="797"/>
      <c r="M132" s="813"/>
      <c r="N132" s="797"/>
      <c r="O132" s="797"/>
    </row>
    <row r="133" spans="3:15">
      <c r="C133" s="789" t="str">
        <f>IF(D95="","-",+C132+1)</f>
        <v>-</v>
      </c>
      <c r="D133" s="737">
        <f t="shared" si="0"/>
        <v>0</v>
      </c>
      <c r="E133" s="790">
        <f t="shared" si="5"/>
        <v>0</v>
      </c>
      <c r="F133" s="737">
        <f t="shared" si="1"/>
        <v>0</v>
      </c>
      <c r="G133" s="795">
        <f t="shared" si="2"/>
        <v>0</v>
      </c>
      <c r="H133" s="796">
        <f t="shared" si="3"/>
        <v>0</v>
      </c>
      <c r="I133" s="793">
        <f t="shared" si="4"/>
        <v>0</v>
      </c>
      <c r="J133" s="793"/>
      <c r="K133" s="813"/>
      <c r="L133" s="797"/>
      <c r="M133" s="813"/>
      <c r="N133" s="797"/>
      <c r="O133" s="797"/>
    </row>
    <row r="134" spans="3:15">
      <c r="C134" s="789" t="str">
        <f>IF(D95="","-",+C133+1)</f>
        <v>-</v>
      </c>
      <c r="D134" s="737">
        <f t="shared" si="0"/>
        <v>0</v>
      </c>
      <c r="E134" s="790">
        <f t="shared" si="5"/>
        <v>0</v>
      </c>
      <c r="F134" s="737">
        <f t="shared" si="1"/>
        <v>0</v>
      </c>
      <c r="G134" s="795">
        <f t="shared" si="2"/>
        <v>0</v>
      </c>
      <c r="H134" s="796">
        <f t="shared" si="3"/>
        <v>0</v>
      </c>
      <c r="I134" s="793">
        <f t="shared" si="4"/>
        <v>0</v>
      </c>
      <c r="J134" s="793"/>
      <c r="K134" s="813"/>
      <c r="L134" s="797"/>
      <c r="M134" s="813"/>
      <c r="N134" s="797"/>
      <c r="O134" s="797"/>
    </row>
    <row r="135" spans="3:15">
      <c r="C135" s="789" t="str">
        <f>IF(D95="","-",+C134+1)</f>
        <v>-</v>
      </c>
      <c r="D135" s="737">
        <f t="shared" si="0"/>
        <v>0</v>
      </c>
      <c r="E135" s="790">
        <f t="shared" si="5"/>
        <v>0</v>
      </c>
      <c r="F135" s="737">
        <f t="shared" si="1"/>
        <v>0</v>
      </c>
      <c r="G135" s="795">
        <f t="shared" si="2"/>
        <v>0</v>
      </c>
      <c r="H135" s="796">
        <f t="shared" si="3"/>
        <v>0</v>
      </c>
      <c r="I135" s="793">
        <f t="shared" si="4"/>
        <v>0</v>
      </c>
      <c r="J135" s="793"/>
      <c r="K135" s="813"/>
      <c r="L135" s="797"/>
      <c r="M135" s="813"/>
      <c r="N135" s="797"/>
      <c r="O135" s="797"/>
    </row>
    <row r="136" spans="3:15">
      <c r="C136" s="789" t="str">
        <f>IF(D95="","-",+C135+1)</f>
        <v>-</v>
      </c>
      <c r="D136" s="737">
        <f t="shared" si="0"/>
        <v>0</v>
      </c>
      <c r="E136" s="790">
        <f t="shared" si="5"/>
        <v>0</v>
      </c>
      <c r="F136" s="737">
        <f t="shared" si="1"/>
        <v>0</v>
      </c>
      <c r="G136" s="795">
        <f t="shared" si="2"/>
        <v>0</v>
      </c>
      <c r="H136" s="796">
        <f t="shared" si="3"/>
        <v>0</v>
      </c>
      <c r="I136" s="793">
        <f t="shared" si="4"/>
        <v>0</v>
      </c>
      <c r="J136" s="793"/>
      <c r="K136" s="813"/>
      <c r="L136" s="797"/>
      <c r="M136" s="813"/>
      <c r="N136" s="797"/>
      <c r="O136" s="797"/>
    </row>
    <row r="137" spans="3:15">
      <c r="C137" s="789" t="str">
        <f>IF(D95="","-",+C136+1)</f>
        <v>-</v>
      </c>
      <c r="D137" s="737">
        <f t="shared" si="0"/>
        <v>0</v>
      </c>
      <c r="E137" s="790">
        <f t="shared" si="5"/>
        <v>0</v>
      </c>
      <c r="F137" s="737">
        <f t="shared" si="1"/>
        <v>0</v>
      </c>
      <c r="G137" s="795">
        <f t="shared" si="2"/>
        <v>0</v>
      </c>
      <c r="H137" s="796">
        <f t="shared" si="3"/>
        <v>0</v>
      </c>
      <c r="I137" s="793">
        <f t="shared" si="4"/>
        <v>0</v>
      </c>
      <c r="J137" s="793"/>
      <c r="K137" s="813"/>
      <c r="L137" s="797"/>
      <c r="M137" s="813"/>
      <c r="N137" s="797"/>
      <c r="O137" s="797"/>
    </row>
    <row r="138" spans="3:15">
      <c r="C138" s="789" t="str">
        <f>IF(D95="","-",+C137+1)</f>
        <v>-</v>
      </c>
      <c r="D138" s="737">
        <f t="shared" si="0"/>
        <v>0</v>
      </c>
      <c r="E138" s="790">
        <f t="shared" si="5"/>
        <v>0</v>
      </c>
      <c r="F138" s="737">
        <f t="shared" si="1"/>
        <v>0</v>
      </c>
      <c r="G138" s="795">
        <f t="shared" si="2"/>
        <v>0</v>
      </c>
      <c r="H138" s="796">
        <f t="shared" si="3"/>
        <v>0</v>
      </c>
      <c r="I138" s="793">
        <f t="shared" si="4"/>
        <v>0</v>
      </c>
      <c r="J138" s="793"/>
      <c r="K138" s="813"/>
      <c r="L138" s="797"/>
      <c r="M138" s="813"/>
      <c r="N138" s="797"/>
      <c r="O138" s="797"/>
    </row>
    <row r="139" spans="3:15">
      <c r="C139" s="789" t="str">
        <f>IF(D95="","-",+C138+1)</f>
        <v>-</v>
      </c>
      <c r="D139" s="737">
        <f t="shared" si="0"/>
        <v>0</v>
      </c>
      <c r="E139" s="790">
        <f t="shared" si="5"/>
        <v>0</v>
      </c>
      <c r="F139" s="737">
        <f t="shared" si="1"/>
        <v>0</v>
      </c>
      <c r="G139" s="795">
        <f t="shared" si="2"/>
        <v>0</v>
      </c>
      <c r="H139" s="796">
        <f t="shared" si="3"/>
        <v>0</v>
      </c>
      <c r="I139" s="793">
        <f t="shared" si="4"/>
        <v>0</v>
      </c>
      <c r="J139" s="793"/>
      <c r="K139" s="813"/>
      <c r="L139" s="797"/>
      <c r="M139" s="813"/>
      <c r="N139" s="797"/>
      <c r="O139" s="797"/>
    </row>
    <row r="140" spans="3:15">
      <c r="C140" s="789" t="str">
        <f>IF(D95="","-",+C139+1)</f>
        <v>-</v>
      </c>
      <c r="D140" s="737">
        <f t="shared" si="0"/>
        <v>0</v>
      </c>
      <c r="E140" s="790">
        <f t="shared" si="5"/>
        <v>0</v>
      </c>
      <c r="F140" s="737">
        <f t="shared" si="1"/>
        <v>0</v>
      </c>
      <c r="G140" s="795">
        <f t="shared" si="2"/>
        <v>0</v>
      </c>
      <c r="H140" s="796">
        <f t="shared" si="3"/>
        <v>0</v>
      </c>
      <c r="I140" s="793">
        <f t="shared" si="4"/>
        <v>0</v>
      </c>
      <c r="J140" s="793"/>
      <c r="K140" s="813"/>
      <c r="L140" s="797"/>
      <c r="M140" s="813"/>
      <c r="N140" s="797"/>
      <c r="O140" s="797"/>
    </row>
    <row r="141" spans="3:15">
      <c r="C141" s="789" t="str">
        <f>IF(D95="","-",+C140+1)</f>
        <v>-</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t="str">
        <f>IF(D95="","-",+C141+1)</f>
        <v>-</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t="str">
        <f>IF(D95="","-",+C142+1)</f>
        <v>-</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t="str">
        <f>IF(D95="","-",+C143+1)</f>
        <v>-</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t="str">
        <f>IF(D95="","-",+C144+1)</f>
        <v>-</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t="str">
        <f>IF(D95="","-",+C145+1)</f>
        <v>-</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t="str">
        <f>IF(D95="","-",+C146+1)</f>
        <v>-</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t="str">
        <f>IF(D95="","-",+C147+1)</f>
        <v>-</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t="str">
        <f>IF(D95="","-",+C148+1)</f>
        <v>-</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t="str">
        <f>IF(D95="","-",+C149+1)</f>
        <v>-</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t="str">
        <f>IF(D95="","-",+C150+1)</f>
        <v>-</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t="str">
        <f>IF(D95="","-",+C151+1)</f>
        <v>-</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t="str">
        <f>IF(D95="","-",+C152+1)</f>
        <v>-</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t="str">
        <f>IF(D95="","-",+C153+1)</f>
        <v>-</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t="str">
        <f>IF(D95="","-",+C154+1)</f>
        <v>-</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t="str">
        <f>IF(D95="","-",+C155+1)</f>
        <v>-</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t="str">
        <f>IF(D95="","-",+C156+1)</f>
        <v>-</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t="str">
        <f>IF(D95="","-",+C157+1)</f>
        <v>-</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t="str">
        <f>IF(D95="","-",+C158+1)</f>
        <v>-</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t="str">
        <f>IF(D95="","-",+C159+1)</f>
        <v>-</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3:15">
      <c r="C161" s="737" t="s">
        <v>83</v>
      </c>
      <c r="D161" s="731"/>
      <c r="E161" s="731">
        <f>SUM(E101:E160)</f>
        <v>0</v>
      </c>
      <c r="F161" s="731"/>
      <c r="G161" s="731">
        <f>SUM(G101:G160)</f>
        <v>0</v>
      </c>
      <c r="H161" s="731">
        <f>SUM(H101:H160)</f>
        <v>0</v>
      </c>
      <c r="I161" s="731">
        <f>SUM(I101:I160)</f>
        <v>0</v>
      </c>
      <c r="J161" s="731"/>
      <c r="K161" s="731"/>
      <c r="L161" s="731"/>
      <c r="M161" s="731"/>
      <c r="N161" s="731"/>
      <c r="O161" s="314"/>
    </row>
    <row r="162" spans="3:15">
      <c r="D162" s="539"/>
      <c r="E162" s="314"/>
      <c r="F162" s="314"/>
      <c r="G162" s="314"/>
      <c r="H162" s="709"/>
      <c r="I162" s="709"/>
      <c r="J162" s="731"/>
      <c r="K162" s="709"/>
      <c r="L162" s="709"/>
      <c r="M162" s="709"/>
      <c r="N162" s="709"/>
      <c r="O162" s="314"/>
    </row>
    <row r="163" spans="3:15">
      <c r="C163" s="314" t="s">
        <v>13</v>
      </c>
      <c r="D163" s="539"/>
      <c r="E163" s="314"/>
      <c r="F163" s="314"/>
      <c r="G163" s="314"/>
      <c r="H163" s="709"/>
      <c r="I163" s="709"/>
      <c r="J163" s="731"/>
      <c r="K163" s="709"/>
      <c r="L163" s="709"/>
      <c r="M163" s="709"/>
      <c r="N163" s="709"/>
      <c r="O163" s="314"/>
    </row>
    <row r="164" spans="3:15">
      <c r="C164" s="314"/>
      <c r="D164" s="539"/>
      <c r="E164" s="314"/>
      <c r="F164" s="314"/>
      <c r="G164" s="314"/>
      <c r="H164" s="709"/>
      <c r="I164" s="709"/>
      <c r="J164" s="731"/>
      <c r="K164" s="709"/>
      <c r="L164" s="709"/>
      <c r="M164" s="709"/>
      <c r="N164" s="709"/>
      <c r="O164" s="314"/>
    </row>
    <row r="165" spans="3:15">
      <c r="C165" s="750" t="s">
        <v>14</v>
      </c>
      <c r="D165" s="737"/>
      <c r="E165" s="737"/>
      <c r="F165" s="737"/>
      <c r="G165" s="731"/>
      <c r="H165" s="731"/>
      <c r="I165" s="805"/>
      <c r="J165" s="805"/>
      <c r="K165" s="805"/>
      <c r="L165" s="805"/>
      <c r="M165" s="805"/>
      <c r="N165" s="805"/>
      <c r="O165" s="314"/>
    </row>
    <row r="166" spans="3:15">
      <c r="C166" s="736" t="s">
        <v>263</v>
      </c>
      <c r="D166" s="737"/>
      <c r="E166" s="737"/>
      <c r="F166" s="737"/>
      <c r="G166" s="731"/>
      <c r="H166" s="731"/>
      <c r="I166" s="805"/>
      <c r="J166" s="805"/>
      <c r="K166" s="805"/>
      <c r="L166" s="805"/>
      <c r="M166" s="805"/>
      <c r="N166" s="805"/>
      <c r="O166" s="314"/>
    </row>
    <row r="167" spans="3:15">
      <c r="C167" s="736" t="s">
        <v>84</v>
      </c>
      <c r="D167" s="737"/>
      <c r="E167" s="737"/>
      <c r="F167" s="737"/>
      <c r="G167" s="731"/>
      <c r="H167" s="731"/>
      <c r="I167" s="805"/>
      <c r="J167" s="805"/>
      <c r="K167" s="805"/>
      <c r="L167" s="805"/>
      <c r="M167" s="805"/>
      <c r="N167" s="805"/>
      <c r="O167" s="314"/>
    </row>
    <row r="168" spans="3:15">
      <c r="C168" s="736"/>
      <c r="D168" s="737"/>
      <c r="E168" s="737"/>
      <c r="F168" s="737"/>
      <c r="G168" s="731"/>
      <c r="H168" s="731"/>
      <c r="I168" s="805"/>
      <c r="J168" s="805"/>
      <c r="K168" s="805"/>
      <c r="L168" s="805"/>
      <c r="M168" s="805"/>
      <c r="N168" s="805"/>
      <c r="O168" s="314"/>
    </row>
    <row r="169" spans="3:15">
      <c r="C169" s="1537" t="s">
        <v>6</v>
      </c>
      <c r="D169" s="1537"/>
      <c r="E169" s="1537"/>
      <c r="F169" s="1537"/>
      <c r="G169" s="1537"/>
      <c r="H169" s="1537"/>
      <c r="I169" s="1537"/>
      <c r="J169" s="1537"/>
      <c r="K169" s="1537"/>
      <c r="L169" s="1537"/>
      <c r="M169" s="1537"/>
      <c r="N169" s="1537"/>
      <c r="O169" s="1537"/>
    </row>
    <row r="170" spans="3:15">
      <c r="C170" s="1537"/>
      <c r="D170" s="1537"/>
      <c r="E170" s="1537"/>
      <c r="F170" s="1537"/>
      <c r="G170" s="1537"/>
      <c r="H170" s="1537"/>
      <c r="I170" s="1537"/>
      <c r="J170" s="1537"/>
      <c r="K170" s="1537"/>
      <c r="L170" s="1537"/>
      <c r="M170" s="1537"/>
      <c r="N170" s="1537"/>
      <c r="O170" s="1537"/>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election activeCell="D24" sqref="D2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7"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5" t="s">
        <v>632</v>
      </c>
    </row>
    <row r="2" spans="1:17" ht="15.75">
      <c r="A2" s="1005" t="s">
        <v>633</v>
      </c>
    </row>
    <row r="3" spans="1:17" ht="15">
      <c r="A3" s="1484" t="str">
        <f>TCOS!$F$5</f>
        <v>AEPTCo subsidiaries in PJM</v>
      </c>
      <c r="B3" s="1484" t="str">
        <f>TCOS!$F$5</f>
        <v>AEPTCo subsidiaries in PJM</v>
      </c>
      <c r="C3" s="1484" t="str">
        <f>TCOS!$F$5</f>
        <v>AEPTCo subsidiaries in PJM</v>
      </c>
      <c r="D3" s="1484" t="str">
        <f>TCOS!$F$5</f>
        <v>AEPTCo subsidiaries in PJM</v>
      </c>
      <c r="E3" s="1484" t="str">
        <f>TCOS!$F$5</f>
        <v>AEPTCo subsidiaries in PJM</v>
      </c>
      <c r="F3" s="1484" t="str">
        <f>TCOS!$F$5</f>
        <v>AEPTCo subsidiaries in PJM</v>
      </c>
      <c r="G3" s="1484" t="str">
        <f>TCOS!$F$5</f>
        <v>AEPTCo subsidiaries in PJM</v>
      </c>
      <c r="H3" s="1484" t="str">
        <f>TCOS!$F$5</f>
        <v>AEPTCo subsidiaries in PJM</v>
      </c>
      <c r="I3" s="1484" t="str">
        <f>TCOS!$F$5</f>
        <v>AEPTCo subsidiaries in PJM</v>
      </c>
      <c r="J3" s="1484" t="str">
        <f>TCOS!$F$5</f>
        <v>AEPTCo subsidiaries in PJM</v>
      </c>
      <c r="K3" s="1484" t="str">
        <f>TCOS!$F$5</f>
        <v>AEPTCo subsidiaries in PJM</v>
      </c>
      <c r="L3" s="1484" t="str">
        <f>TCOS!$F$5</f>
        <v>AEPTCo subsidiaries in PJM</v>
      </c>
      <c r="M3" s="1484" t="str">
        <f>TCOS!$F$5</f>
        <v>AEPTCo subsidiaries in PJM</v>
      </c>
      <c r="N3" s="1484" t="str">
        <f>TCOS!$F$5</f>
        <v>AEPTCo subsidiaries in PJM</v>
      </c>
      <c r="O3" s="1484" t="str">
        <f>TCOS!$F$5</f>
        <v>AEPTCo subsidiaries in PJM</v>
      </c>
      <c r="P3" s="1484" t="str">
        <f>TCOS!$F$5</f>
        <v>AEPTCo subsidiaries in PJM</v>
      </c>
      <c r="Q3" s="156"/>
    </row>
    <row r="4" spans="1:17" ht="15">
      <c r="A4" s="1512" t="str">
        <f>"Cost of Service Formula Rate Using Actual/Projected FF1 Balances"</f>
        <v>Cost of Service Formula Rate Using Actual/Projected FF1 Balances</v>
      </c>
      <c r="B4" s="1512"/>
      <c r="C4" s="1512"/>
      <c r="D4" s="1512"/>
      <c r="E4" s="1512"/>
      <c r="F4" s="1512"/>
      <c r="G4" s="1512"/>
      <c r="H4" s="1512"/>
      <c r="I4" s="1512"/>
      <c r="J4" s="1512"/>
      <c r="K4" s="1512"/>
      <c r="L4" s="1512"/>
      <c r="M4" s="1512"/>
      <c r="N4" s="1512"/>
      <c r="O4" s="1512"/>
      <c r="P4" s="1512"/>
      <c r="Q4" s="156"/>
    </row>
    <row r="5" spans="1:17" ht="15">
      <c r="A5" s="1512" t="s">
        <v>257</v>
      </c>
      <c r="B5" s="1512"/>
      <c r="C5" s="1512"/>
      <c r="D5" s="1512"/>
      <c r="E5" s="1512"/>
      <c r="F5" s="1512"/>
      <c r="G5" s="1512"/>
      <c r="H5" s="1512"/>
      <c r="I5" s="1512"/>
      <c r="J5" s="1512"/>
      <c r="K5" s="1512"/>
      <c r="L5" s="1512"/>
      <c r="M5" s="1512"/>
      <c r="N5" s="1512"/>
      <c r="O5" s="1512"/>
      <c r="P5" s="1512"/>
      <c r="Q5" s="156"/>
    </row>
    <row r="6" spans="1:17" ht="15">
      <c r="A6" s="1513" t="str">
        <f>TCOS!F9</f>
        <v>AEP Appalachian Transmission Company</v>
      </c>
      <c r="B6" s="1513"/>
      <c r="C6" s="1513"/>
      <c r="D6" s="1513"/>
      <c r="E6" s="1513"/>
      <c r="F6" s="1513"/>
      <c r="G6" s="1513"/>
      <c r="H6" s="1513"/>
      <c r="I6" s="1513"/>
      <c r="J6" s="1513"/>
      <c r="K6" s="1513"/>
      <c r="L6" s="1513"/>
      <c r="M6" s="1513"/>
      <c r="N6" s="1513"/>
      <c r="O6" s="1513"/>
      <c r="P6" s="1513"/>
      <c r="Q6" s="156"/>
    </row>
    <row r="7" spans="1:17">
      <c r="Q7" s="156"/>
    </row>
    <row r="8" spans="1:17" ht="20.25">
      <c r="A8" s="653"/>
      <c r="C8" s="392"/>
      <c r="O8" s="654" t="str">
        <f>"Page "&amp;Q8&amp;" of "</f>
        <v xml:space="preserve">Page 1 of </v>
      </c>
      <c r="P8" s="655">
        <f>COUNT(Q$8:Q$57702)</f>
        <v>2</v>
      </c>
      <c r="Q8" s="656">
        <v>1</v>
      </c>
    </row>
    <row r="9" spans="1:17" ht="18">
      <c r="C9" s="657"/>
      <c r="Q9" s="156"/>
    </row>
    <row r="10" spans="1:17">
      <c r="Q10" s="156"/>
    </row>
    <row r="11" spans="1:17" ht="18">
      <c r="B11" s="658" t="s">
        <v>461</v>
      </c>
      <c r="C11" s="1539" t="str">
        <f>"Calculate Return and Income Taxes with "&amp;F17&amp;" basis point ROE increase for Projects Qualified for Regional Billing."</f>
        <v>Calculate Return and Income Taxes with 0 basis point ROE increase for Projects Qualified for Regional Billing.</v>
      </c>
      <c r="D11" s="1540"/>
      <c r="E11" s="1540"/>
      <c r="F11" s="1540"/>
      <c r="G11" s="1540"/>
      <c r="H11" s="1540"/>
      <c r="I11" s="1540"/>
      <c r="Q11" s="156"/>
    </row>
    <row r="12" spans="1:17" ht="18.75" customHeight="1">
      <c r="C12" s="1540"/>
      <c r="D12" s="1540"/>
      <c r="E12" s="1540"/>
      <c r="F12" s="1540"/>
      <c r="G12" s="1540"/>
      <c r="H12" s="1540"/>
      <c r="I12" s="1540"/>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436</v>
      </c>
      <c r="E20" s="670" t="s">
        <v>435</v>
      </c>
      <c r="F20" s="671" t="s">
        <v>44</v>
      </c>
      <c r="G20" s="671"/>
      <c r="H20" s="662"/>
      <c r="I20" s="664"/>
      <c r="J20" s="664"/>
      <c r="K20" s="665"/>
      <c r="L20" s="819" t="s">
        <v>232</v>
      </c>
      <c r="M20" s="821" t="str">
        <f>+TCOS!O3</f>
        <v xml:space="preserve"> </v>
      </c>
      <c r="N20" s="426"/>
      <c r="O20" s="426"/>
      <c r="P20" s="822"/>
    </row>
    <row r="21" spans="3:17">
      <c r="C21" s="672" t="s">
        <v>48</v>
      </c>
      <c r="D21" s="823">
        <f>TCOS!I233</f>
        <v>0.49421038830199421</v>
      </c>
      <c r="E21" s="674">
        <f>TCOS!J233</f>
        <v>3.7275577557755776E-2</v>
      </c>
      <c r="F21" s="675">
        <f>E21*D21</f>
        <v>1.8421977658999583E-2</v>
      </c>
      <c r="G21" s="675"/>
      <c r="H21" s="662"/>
      <c r="I21" s="664"/>
      <c r="J21" s="676"/>
      <c r="K21" s="677"/>
      <c r="L21" s="824"/>
      <c r="M21" s="766" t="s">
        <v>233</v>
      </c>
      <c r="N21" s="956" t="e">
        <f>+M88+#REF!+#REF!+#REF!+#REF!+#REF!+#REF!+#REF!</f>
        <v>#N/A</v>
      </c>
      <c r="O21" s="956" t="e">
        <f>+N88+#REF!+#REF!+#REF!+#REF!+#REF!+#REF!+#REF!</f>
        <v>#N/A</v>
      </c>
      <c r="P21" s="825" t="e">
        <f>+O21-N21</f>
        <v>#N/A</v>
      </c>
    </row>
    <row r="22" spans="3:17" ht="13.5" thickBot="1">
      <c r="C22" s="672" t="s">
        <v>49</v>
      </c>
      <c r="D22" s="823">
        <f>TCOS!I234</f>
        <v>0</v>
      </c>
      <c r="E22" s="674">
        <f>TCOS!J234</f>
        <v>0</v>
      </c>
      <c r="F22" s="675">
        <f>E22*D22</f>
        <v>0</v>
      </c>
      <c r="G22" s="675"/>
      <c r="H22" s="678"/>
      <c r="I22" s="678"/>
      <c r="J22" s="679"/>
      <c r="K22" s="680"/>
      <c r="L22" s="824"/>
      <c r="M22" s="766" t="s">
        <v>618</v>
      </c>
      <c r="N22" s="957" t="e">
        <f>M89+#REF!+#REF!+#REF!+#REF!+#REF!+#REF!+#REF!+#REF!</f>
        <v>#N/A</v>
      </c>
      <c r="O22" s="957" t="e">
        <f>N89+#REF!+#REF!+#REF!+#REF!+#REF!+#REF!+#REF!+#REF!</f>
        <v>#N/A</v>
      </c>
      <c r="P22" s="826" t="e">
        <f>+O22-N22</f>
        <v>#N/A</v>
      </c>
      <c r="Q22" s="680"/>
    </row>
    <row r="23" spans="3:17">
      <c r="C23" s="681" t="s">
        <v>29</v>
      </c>
      <c r="D23" s="823">
        <f>TCOS!I235</f>
        <v>0.50578961169800585</v>
      </c>
      <c r="E23" s="674">
        <f>+F18</f>
        <v>0.10349999999999999</v>
      </c>
      <c r="F23" s="682">
        <f>E23*D23</f>
        <v>5.2349224810743604E-2</v>
      </c>
      <c r="G23" s="682"/>
      <c r="H23" s="678"/>
      <c r="I23" s="678"/>
      <c r="J23" s="679"/>
      <c r="K23" s="680"/>
      <c r="L23" s="824"/>
      <c r="M23" s="766" t="str">
        <f>"True-up of ARR For "&amp;TCOS!L4&amp;""</f>
        <v>True-up of ARR For 2025</v>
      </c>
      <c r="N23" s="737" t="e">
        <f>+N22-N21</f>
        <v>#N/A</v>
      </c>
      <c r="O23" s="737" t="e">
        <f>+O22-O21</f>
        <v>#N/A</v>
      </c>
      <c r="P23" s="827" t="e">
        <f>+P22-P21</f>
        <v>#N/A</v>
      </c>
      <c r="Q23" s="680"/>
    </row>
    <row r="24" spans="3:17">
      <c r="C24" s="661"/>
      <c r="D24" s="173"/>
      <c r="E24" s="683" t="s">
        <v>50</v>
      </c>
      <c r="F24" s="675">
        <f>SUM(F21:F23)</f>
        <v>7.0771202469743194E-2</v>
      </c>
      <c r="G24" s="675"/>
      <c r="H24" s="678"/>
      <c r="I24" s="678"/>
      <c r="J24" s="679"/>
      <c r="K24" s="680"/>
      <c r="L24" s="824"/>
      <c r="M24" s="426"/>
      <c r="N24" s="426"/>
      <c r="O24" s="426"/>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130058393.81921667</v>
      </c>
      <c r="F28" s="831"/>
      <c r="G28" s="831"/>
      <c r="H28" s="689"/>
      <c r="I28" s="689"/>
      <c r="J28" s="689"/>
      <c r="K28" s="689"/>
      <c r="L28" s="689"/>
      <c r="M28" s="689"/>
      <c r="N28" s="689"/>
      <c r="O28" s="689"/>
      <c r="P28" s="831"/>
      <c r="Q28" s="689"/>
    </row>
    <row r="29" spans="3:17">
      <c r="C29" s="665" t="s">
        <v>52</v>
      </c>
      <c r="D29" s="701"/>
      <c r="E29" s="675">
        <f>F24</f>
        <v>7.0771202469743194E-2</v>
      </c>
      <c r="F29" s="689"/>
      <c r="G29" s="689"/>
      <c r="H29" s="689"/>
      <c r="I29" s="689"/>
      <c r="J29" s="689"/>
      <c r="K29" s="689"/>
      <c r="L29" s="689"/>
      <c r="M29" s="689"/>
      <c r="N29" s="689"/>
      <c r="O29" s="689"/>
      <c r="P29" s="689"/>
      <c r="Q29" s="689"/>
    </row>
    <row r="30" spans="3:17">
      <c r="C30" s="702" t="s">
        <v>53</v>
      </c>
      <c r="D30" s="702"/>
      <c r="E30" s="679">
        <f>E28*E29</f>
        <v>9204388.9218693804</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9204388.9218693804</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0.26182745893581627</v>
      </c>
      <c r="F35" s="314"/>
      <c r="G35" s="314"/>
      <c r="H35" s="314"/>
      <c r="I35" s="709"/>
      <c r="J35" s="314"/>
      <c r="K35" s="426"/>
      <c r="Q35" s="426"/>
    </row>
    <row r="36" spans="2:17">
      <c r="C36" s="703" t="s">
        <v>55</v>
      </c>
      <c r="D36" s="539"/>
      <c r="E36" s="710">
        <f>E34*E35</f>
        <v>2409961.7624700372</v>
      </c>
      <c r="F36" s="314"/>
      <c r="G36" s="314"/>
      <c r="H36" s="314"/>
      <c r="I36" s="709"/>
      <c r="J36" s="314"/>
      <c r="K36" s="426"/>
      <c r="Q36" s="426"/>
    </row>
    <row r="37" spans="2:17" ht="15">
      <c r="C37" s="661" t="s">
        <v>97</v>
      </c>
      <c r="D37" s="326"/>
      <c r="E37" s="711">
        <f>TCOS!L178</f>
        <v>0</v>
      </c>
      <c r="F37" s="326"/>
      <c r="G37" s="326"/>
      <c r="H37" s="326"/>
      <c r="I37" s="326"/>
      <c r="J37" s="326"/>
      <c r="K37" s="326"/>
      <c r="L37" s="326"/>
      <c r="M37" s="326"/>
      <c r="N37" s="326"/>
      <c r="O37" s="326"/>
      <c r="P37" s="231"/>
      <c r="Q37" s="326"/>
    </row>
    <row r="38" spans="2:17" ht="15">
      <c r="C38" s="661" t="s">
        <v>550</v>
      </c>
      <c r="D38" s="326"/>
      <c r="E38" s="711">
        <f>TCOS!L179</f>
        <v>1381.0452888076977</v>
      </c>
      <c r="F38" s="326"/>
      <c r="G38" s="326"/>
      <c r="H38" s="326"/>
      <c r="I38" s="326"/>
      <c r="J38" s="326"/>
      <c r="K38" s="326"/>
      <c r="L38" s="326"/>
      <c r="M38" s="326"/>
      <c r="N38" s="326"/>
      <c r="O38" s="326"/>
      <c r="P38" s="231"/>
      <c r="Q38" s="326"/>
    </row>
    <row r="39" spans="2:17" ht="15">
      <c r="C39" s="661" t="s">
        <v>552</v>
      </c>
      <c r="D39" s="326"/>
      <c r="E39" s="832">
        <f>TCOS!L180</f>
        <v>28523.14471547549</v>
      </c>
      <c r="F39" s="326"/>
      <c r="G39" s="326"/>
      <c r="H39" s="326"/>
      <c r="I39" s="326"/>
      <c r="J39" s="326"/>
      <c r="K39" s="326"/>
      <c r="L39" s="326"/>
      <c r="M39" s="326"/>
      <c r="N39" s="326"/>
      <c r="O39" s="326"/>
      <c r="P39" s="231"/>
      <c r="Q39" s="326"/>
    </row>
    <row r="40" spans="2:17" ht="15">
      <c r="C40" s="703" t="s">
        <v>56</v>
      </c>
      <c r="D40" s="326"/>
      <c r="E40" s="711">
        <f>E36+E37+E38+E39</f>
        <v>2439865.9524743203</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20966885.169530723</v>
      </c>
      <c r="G47" s="711"/>
      <c r="H47" s="833" t="s">
        <v>406</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9204388.9218693804</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2439865.9524743203</v>
      </c>
      <c r="G50" s="718"/>
      <c r="H50" s="714"/>
      <c r="I50" s="714"/>
      <c r="J50" s="719"/>
      <c r="K50" s="719"/>
      <c r="L50" s="719"/>
      <c r="M50" s="719"/>
      <c r="N50" s="719"/>
      <c r="O50" s="719"/>
      <c r="P50" s="714"/>
      <c r="Q50" s="719"/>
    </row>
    <row r="51" spans="2:17">
      <c r="B51" s="348"/>
      <c r="C51" s="1548" t="s">
        <v>619</v>
      </c>
      <c r="D51" s="1549"/>
      <c r="E51" s="714"/>
      <c r="F51" s="716">
        <f>F47-F49-F50-F48</f>
        <v>9322630.2951870225</v>
      </c>
      <c r="G51" s="716"/>
      <c r="H51" s="720"/>
      <c r="I51" s="714"/>
      <c r="J51" s="720"/>
      <c r="K51" s="720"/>
      <c r="L51" s="720"/>
      <c r="M51" s="720"/>
      <c r="N51" s="720"/>
      <c r="O51" s="720"/>
      <c r="P51" s="720"/>
      <c r="Q51" s="720"/>
    </row>
    <row r="52" spans="2:17">
      <c r="B52" s="348"/>
      <c r="C52" s="1549"/>
      <c r="D52" s="1549"/>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9322630.2951870225</v>
      </c>
      <c r="G55" s="711"/>
      <c r="H55" s="714"/>
      <c r="I55" s="714"/>
      <c r="J55" s="714"/>
      <c r="K55" s="714"/>
      <c r="L55" s="714"/>
      <c r="M55" s="714"/>
      <c r="N55" s="714"/>
      <c r="O55" s="714"/>
      <c r="P55" s="724"/>
      <c r="Q55" s="714"/>
    </row>
    <row r="56" spans="2:17">
      <c r="B56" s="348"/>
      <c r="C56" s="665" t="s">
        <v>94</v>
      </c>
      <c r="D56" s="725"/>
      <c r="E56" s="726"/>
      <c r="F56" s="727">
        <f>E30</f>
        <v>9204388.9218693804</v>
      </c>
      <c r="G56" s="727"/>
      <c r="H56" s="726"/>
      <c r="I56" s="834"/>
      <c r="J56" s="726"/>
      <c r="K56" s="726"/>
      <c r="L56" s="726"/>
      <c r="M56" s="726"/>
      <c r="N56" s="726"/>
      <c r="O56" s="726"/>
      <c r="P56" s="726"/>
      <c r="Q56" s="726"/>
    </row>
    <row r="57" spans="2:17" ht="12.75" customHeight="1">
      <c r="B57" s="348"/>
      <c r="C57" s="661" t="s">
        <v>62</v>
      </c>
      <c r="D57" s="714"/>
      <c r="E57" s="714"/>
      <c r="F57" s="718">
        <f>E40</f>
        <v>2439865.9524743203</v>
      </c>
      <c r="G57" s="718"/>
      <c r="H57" s="314"/>
      <c r="I57" s="709"/>
      <c r="J57" s="314"/>
      <c r="K57" s="426"/>
      <c r="Q57" s="426"/>
    </row>
    <row r="58" spans="2:17">
      <c r="B58" s="348"/>
      <c r="C58" s="726" t="str">
        <f>"   Annual Revenue Requirement, with "&amp;F17&amp;" Basis Point ROE increase"</f>
        <v xml:space="preserve">   Annual Revenue Requirement, with 0 Basis Point ROE increase</v>
      </c>
      <c r="D58" s="539"/>
      <c r="E58" s="314"/>
      <c r="F58" s="710">
        <f>SUM(F55:F57)</f>
        <v>20966885.16953072</v>
      </c>
      <c r="G58" s="710"/>
      <c r="H58" s="314"/>
      <c r="I58" s="709"/>
      <c r="J58" s="314"/>
      <c r="K58" s="426"/>
      <c r="Q58" s="426"/>
    </row>
    <row r="59" spans="2:17">
      <c r="B59" s="348"/>
      <c r="C59" s="661" t="str">
        <f>"   Depreciation  (TCOS, ln "&amp;TCOS!B154&amp;")"</f>
        <v xml:space="preserve">   Depreciation  (TCOS, ln 83)</v>
      </c>
      <c r="D59" s="539"/>
      <c r="E59" s="314"/>
      <c r="F59" s="728">
        <f>TCOS!L154</f>
        <v>4049576.4822283401</v>
      </c>
      <c r="G59" s="728"/>
      <c r="H59" s="710"/>
      <c r="I59" s="709"/>
      <c r="J59" s="314"/>
      <c r="K59" s="426"/>
      <c r="Q59" s="426"/>
    </row>
    <row r="60" spans="2:17">
      <c r="B60" s="348"/>
      <c r="C60" s="1550" t="str">
        <f>"   Annual Rev. Req, w/ "&amp;F17&amp;" Basis Point ROE increase, less Depreciation"</f>
        <v xml:space="preserve">   Annual Rev. Req, w/ 0 Basis Point ROE increase, less Depreciation</v>
      </c>
      <c r="D60" s="1540"/>
      <c r="E60" s="314"/>
      <c r="F60" s="710">
        <f>F58-F59</f>
        <v>16917308.687302381</v>
      </c>
      <c r="G60" s="710"/>
      <c r="H60" s="314"/>
      <c r="I60" s="709"/>
      <c r="J60" s="314"/>
      <c r="K60" s="426"/>
      <c r="Q60" s="426"/>
    </row>
    <row r="61" spans="2:17">
      <c r="B61" s="348"/>
      <c r="C61" s="1540"/>
      <c r="D61" s="1540"/>
      <c r="E61" s="314"/>
      <c r="F61" s="314"/>
      <c r="G61" s="314"/>
      <c r="H61" s="314"/>
      <c r="I61" s="709"/>
      <c r="J61" s="314"/>
      <c r="K61" s="426"/>
      <c r="Q61" s="426"/>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6"/>
      <c r="Q62" s="426"/>
    </row>
    <row r="63" spans="2:17">
      <c r="B63" s="348"/>
      <c r="C63" s="314"/>
      <c r="D63" s="539"/>
      <c r="E63" s="314"/>
      <c r="F63" s="314"/>
      <c r="G63" s="314"/>
      <c r="H63" s="314"/>
      <c r="I63" s="709"/>
      <c r="J63" s="314"/>
      <c r="K63" s="426"/>
      <c r="Q63" s="426"/>
    </row>
    <row r="64" spans="2:17">
      <c r="B64" s="348"/>
      <c r="C64" s="661" t="str">
        <f>"   Net Transmission Plant  (Projected TCOS, ln "&amp;TCOS!B79&amp;")"</f>
        <v xml:space="preserve">   Net Transmission Plant  (Projected TCOS, ln 33)</v>
      </c>
      <c r="D64" s="539"/>
      <c r="E64" s="314"/>
      <c r="F64" s="710">
        <f>TCOS!L79</f>
        <v>135759268.2224353</v>
      </c>
      <c r="G64" s="710"/>
      <c r="H64" s="710"/>
      <c r="I64" s="835"/>
      <c r="J64" s="314"/>
      <c r="K64" s="426"/>
      <c r="Q64" s="426"/>
    </row>
    <row r="65" spans="2:17">
      <c r="B65" s="348"/>
      <c r="C65" s="726" t="str">
        <f>"   Annual Revenue Requirement, with "&amp;F17&amp;" Basis Point ROE increase"</f>
        <v xml:space="preserve">   Annual Revenue Requirement, with 0 Basis Point ROE increase</v>
      </c>
      <c r="D65" s="539"/>
      <c r="E65" s="314"/>
      <c r="F65" s="710">
        <f>F58</f>
        <v>20966885.16953072</v>
      </c>
      <c r="G65" s="710"/>
      <c r="H65" s="314"/>
      <c r="I65" s="709"/>
      <c r="J65" s="314"/>
      <c r="K65" s="426"/>
      <c r="Q65" s="426"/>
    </row>
    <row r="66" spans="2:17">
      <c r="B66" s="348"/>
      <c r="C66" s="726" t="str">
        <f>"   FCR with "&amp;F17&amp;" Basis Point increase in ROE"</f>
        <v xml:space="preserve">   FCR with 0 Basis Point increase in ROE</v>
      </c>
      <c r="D66" s="539"/>
      <c r="E66" s="314"/>
      <c r="F66" s="708">
        <f>IF(F64=0,0,F65/F64)</f>
        <v>0.15444164839764343</v>
      </c>
      <c r="G66" s="708"/>
      <c r="H66" s="708"/>
      <c r="I66" s="709"/>
      <c r="J66" s="314"/>
      <c r="K66" s="426"/>
      <c r="Q66" s="426"/>
    </row>
    <row r="67" spans="2:17">
      <c r="B67" s="348"/>
      <c r="C67" s="209"/>
      <c r="D67" s="539"/>
      <c r="E67" s="314"/>
      <c r="F67" s="348"/>
      <c r="G67" s="348"/>
      <c r="H67" s="314"/>
      <c r="I67" s="709"/>
      <c r="J67" s="314"/>
      <c r="K67" s="426"/>
      <c r="Q67" s="426"/>
    </row>
    <row r="68" spans="2:17">
      <c r="B68" s="348"/>
      <c r="C68" s="726" t="str">
        <f>"   Annual Rev. Req, w / "&amp;F17&amp;" Basis Point ROE increase, less Dep."</f>
        <v xml:space="preserve">   Annual Rev. Req, w / 0 Basis Point ROE increase, less Dep.</v>
      </c>
      <c r="D68" s="539"/>
      <c r="E68" s="314"/>
      <c r="F68" s="710">
        <f>F60</f>
        <v>16917308.687302381</v>
      </c>
      <c r="G68" s="710"/>
      <c r="H68" s="314"/>
      <c r="I68" s="709"/>
      <c r="J68" s="314"/>
      <c r="K68" s="426"/>
      <c r="Q68" s="426"/>
    </row>
    <row r="69" spans="2:17">
      <c r="B69" s="348"/>
      <c r="C69" s="726" t="str">
        <f>"   FCR with "&amp;F17&amp;" Basis Point ROE increase, less Depreciation"</f>
        <v xml:space="preserve">   FCR with 0 Basis Point ROE increase, less Depreciation</v>
      </c>
      <c r="D69" s="539"/>
      <c r="E69" s="314"/>
      <c r="F69" s="708">
        <f>IF(F68=0,0,F68/F64)</f>
        <v>0.12461255064799076</v>
      </c>
      <c r="G69" s="708"/>
      <c r="H69" s="314"/>
      <c r="I69" s="709"/>
      <c r="J69" s="314"/>
      <c r="K69" s="426"/>
      <c r="Q69" s="426"/>
    </row>
    <row r="70" spans="2:17">
      <c r="B70" s="348"/>
      <c r="C70" s="661" t="str">
        <f>"   FCR less Depreciation  (TCOS, ln "&amp;TCOS!B31&amp;")"</f>
        <v xml:space="preserve">   FCR less Depreciation  (TCOS, ln 10)</v>
      </c>
      <c r="D70" s="539"/>
      <c r="E70" s="314"/>
      <c r="F70" s="730">
        <f>TCOS!L31</f>
        <v>0.12461255064799079</v>
      </c>
      <c r="G70" s="730"/>
      <c r="H70" s="314"/>
      <c r="I70" s="709"/>
      <c r="J70" s="314"/>
      <c r="K70" s="426"/>
      <c r="Q70" s="426"/>
    </row>
    <row r="71" spans="2:17">
      <c r="B71" s="348"/>
      <c r="C71" s="1550" t="str">
        <f>"   Incremental FCR with "&amp;F17&amp;" Basis Point ROE increase, less Depreciation"</f>
        <v xml:space="preserve">   Incremental FCR with 0 Basis Point ROE increase, less Depreciation</v>
      </c>
      <c r="D71" s="1540"/>
      <c r="E71" s="314"/>
      <c r="F71" s="708">
        <f>F69-F70</f>
        <v>0</v>
      </c>
      <c r="G71" s="708"/>
      <c r="H71" s="314"/>
      <c r="I71" s="709"/>
      <c r="J71" s="314"/>
      <c r="K71" s="426"/>
      <c r="Q71" s="426"/>
    </row>
    <row r="72" spans="2:17">
      <c r="B72" s="348"/>
      <c r="C72" s="1540"/>
      <c r="D72" s="1540"/>
      <c r="E72" s="314"/>
      <c r="F72" s="708"/>
      <c r="G72" s="708"/>
      <c r="H72" s="314"/>
      <c r="I72" s="709"/>
      <c r="J72" s="314"/>
      <c r="K72" s="426"/>
      <c r="Q72" s="426"/>
    </row>
    <row r="73" spans="2:17" ht="18.75">
      <c r="B73" s="658" t="s">
        <v>463</v>
      </c>
      <c r="C73" s="657" t="s">
        <v>63</v>
      </c>
      <c r="D73" s="539"/>
      <c r="E73" s="314"/>
      <c r="F73" s="708"/>
      <c r="G73" s="708"/>
      <c r="H73" s="314"/>
      <c r="I73" s="709"/>
      <c r="J73" s="314"/>
      <c r="K73" s="426"/>
      <c r="Q73" s="426"/>
    </row>
    <row r="74" spans="2:17">
      <c r="B74" s="348"/>
      <c r="C74" s="726"/>
      <c r="D74" s="539"/>
      <c r="E74" s="314"/>
      <c r="F74" s="708"/>
      <c r="G74" s="708"/>
      <c r="H74" s="314"/>
      <c r="I74" s="709"/>
      <c r="J74" s="314"/>
      <c r="K74" s="426"/>
      <c r="Q74" s="426"/>
    </row>
    <row r="75" spans="2:17">
      <c r="B75" s="348"/>
      <c r="C75" s="726" t="str">
        <f>+"Average Transmission Plant Balance for "&amp;TCOS!L4&amp;" TCOS, ln "&amp;TCOS!B63</f>
        <v>Average Transmission Plant Balance for 2025 TCOS, ln 19</v>
      </c>
      <c r="D75" s="539"/>
      <c r="E75" s="314"/>
      <c r="F75" s="314"/>
      <c r="G75" s="314"/>
      <c r="H75" s="709">
        <f>TCOS!L63</f>
        <v>150942714.51016599</v>
      </c>
      <c r="J75" s="314"/>
      <c r="K75" s="426"/>
      <c r="Q75" s="426"/>
    </row>
    <row r="76" spans="2:17">
      <c r="B76" s="348"/>
      <c r="C76" s="726" t="str">
        <f>"Annual Depreciation and Amortization Expense (TCOS, ln "&amp;TCOS!B154&amp;")"</f>
        <v>Annual Depreciation and Amortization Expense (TCOS, ln 83)</v>
      </c>
      <c r="D76" s="539"/>
      <c r="E76" s="314"/>
      <c r="H76" s="489">
        <f>TCOS!L154</f>
        <v>4049576.4822283401</v>
      </c>
      <c r="I76" s="709"/>
      <c r="J76" s="314"/>
      <c r="K76" s="426"/>
      <c r="Q76" s="426"/>
    </row>
    <row r="77" spans="2:17">
      <c r="B77" s="348"/>
      <c r="C77" s="726" t="s">
        <v>64</v>
      </c>
      <c r="D77" s="539"/>
      <c r="E77" s="314"/>
      <c r="H77" s="903">
        <f>H76/H75</f>
        <v>2.6828565362494533E-2</v>
      </c>
      <c r="I77" s="732"/>
      <c r="J77" s="154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541"/>
      <c r="L77" s="1541"/>
      <c r="M77" s="1541"/>
      <c r="N77" s="1541"/>
      <c r="O77" s="1541"/>
      <c r="P77" s="1541"/>
      <c r="Q77" s="659"/>
    </row>
    <row r="78" spans="2:17">
      <c r="B78" s="348"/>
      <c r="C78" s="726" t="s">
        <v>65</v>
      </c>
      <c r="D78" s="539"/>
      <c r="E78" s="314"/>
      <c r="H78" s="733">
        <f>IF(H77=0,0,1/H77)</f>
        <v>37.273703848434913</v>
      </c>
      <c r="I78" s="709"/>
      <c r="J78" s="1541"/>
      <c r="K78" s="1541"/>
      <c r="L78" s="1541"/>
      <c r="M78" s="1541"/>
      <c r="N78" s="1541"/>
      <c r="O78" s="1541"/>
      <c r="P78" s="1541"/>
      <c r="Q78" s="659"/>
    </row>
    <row r="79" spans="2:17">
      <c r="B79" s="348"/>
      <c r="C79" s="726" t="s">
        <v>588</v>
      </c>
      <c r="D79" s="539"/>
      <c r="E79" s="314"/>
      <c r="H79" s="735">
        <f>ROUND(H78,0)</f>
        <v>37</v>
      </c>
      <c r="I79" s="709"/>
      <c r="J79" s="1541"/>
      <c r="K79" s="1541"/>
      <c r="L79" s="1541"/>
      <c r="M79" s="1541"/>
      <c r="N79" s="1541"/>
      <c r="O79" s="1541"/>
      <c r="P79" s="1541"/>
      <c r="Q79" s="659"/>
    </row>
    <row r="80" spans="2:17">
      <c r="B80" s="348"/>
      <c r="C80" s="726"/>
      <c r="D80" s="539"/>
      <c r="E80" s="314"/>
      <c r="H80" s="735"/>
      <c r="I80" s="709"/>
      <c r="J80" s="1541"/>
      <c r="K80" s="1541"/>
      <c r="L80" s="1541"/>
      <c r="M80" s="1541"/>
      <c r="N80" s="1541"/>
      <c r="O80" s="1541"/>
      <c r="P80" s="1541"/>
    </row>
    <row r="81" spans="1:17" ht="20.25">
      <c r="A81" s="738" t="str">
        <f>""&amp;A6&amp;" Worksheet K -  ATRR TRUE-UP Calculation for PJM Projects Charged to Benefiting Zones"</f>
        <v>AEP Appalachian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2</v>
      </c>
      <c r="Q81" s="739">
        <v>1</v>
      </c>
    </row>
    <row r="82" spans="1:17">
      <c r="B82" s="348"/>
      <c r="C82" s="314"/>
      <c r="D82" s="539"/>
      <c r="E82" s="314"/>
      <c r="F82" s="314"/>
      <c r="G82" s="314"/>
      <c r="H82" s="314"/>
      <c r="I82" s="709"/>
      <c r="J82" s="314"/>
      <c r="K82" s="426"/>
    </row>
    <row r="83" spans="1:17" ht="18">
      <c r="B83" s="658" t="s">
        <v>464</v>
      </c>
      <c r="C83" s="740" t="s">
        <v>85</v>
      </c>
      <c r="D83" s="539"/>
      <c r="E83" s="314"/>
      <c r="F83" s="314"/>
      <c r="G83" s="314"/>
      <c r="H83" s="314"/>
      <c r="I83" s="709"/>
      <c r="J83" s="709"/>
      <c r="K83" s="731"/>
      <c r="L83" s="709"/>
      <c r="M83" s="709"/>
      <c r="N83" s="709"/>
      <c r="O83" s="709"/>
      <c r="Q83" s="426"/>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6"/>
      <c r="L87" s="836">
        <f>+J93</f>
        <v>2016</v>
      </c>
      <c r="M87" s="817" t="s">
        <v>45</v>
      </c>
      <c r="N87" s="817" t="s">
        <v>46</v>
      </c>
      <c r="O87" s="818" t="s">
        <v>47</v>
      </c>
    </row>
    <row r="88" spans="1:17" ht="15.75">
      <c r="C88" s="660"/>
      <c r="D88" s="539"/>
      <c r="E88" s="314"/>
      <c r="F88" s="314"/>
      <c r="H88" s="314"/>
      <c r="I88" s="745"/>
      <c r="J88" s="745"/>
      <c r="K88" s="746"/>
      <c r="L88" s="837" t="s">
        <v>235</v>
      </c>
      <c r="M88" s="838" t="e">
        <f>VLOOKUP(J93,C100:P159,10)</f>
        <v>#N/A</v>
      </c>
      <c r="N88" s="838" t="e">
        <f>VLOOKUP(J93,C100:P159,12)</f>
        <v>#N/A</v>
      </c>
      <c r="O88" s="839" t="e">
        <f>+N88-M88</f>
        <v>#N/A</v>
      </c>
    </row>
    <row r="89" spans="1:17">
      <c r="C89" s="750" t="s">
        <v>88</v>
      </c>
      <c r="D89" s="1536"/>
      <c r="E89" s="1536"/>
      <c r="F89" s="1536"/>
      <c r="G89" s="1536"/>
      <c r="H89" s="1536"/>
      <c r="I89" s="1536"/>
      <c r="J89" s="709"/>
      <c r="K89" s="731"/>
      <c r="L89" s="837" t="s">
        <v>236</v>
      </c>
      <c r="M89" s="840" t="e">
        <f>VLOOKUP(J93,C100:P159,6)</f>
        <v>#N/A</v>
      </c>
      <c r="N89" s="840" t="e">
        <f>VLOOKUP(J93,C100:P159,7)</f>
        <v>#N/A</v>
      </c>
      <c r="O89" s="841" t="e">
        <f>+N89-M89</f>
        <v>#N/A</v>
      </c>
    </row>
    <row r="90" spans="1:17" ht="13.5" thickBot="1">
      <c r="C90" s="754"/>
      <c r="D90" s="755"/>
      <c r="E90" s="735"/>
      <c r="F90" s="735"/>
      <c r="G90" s="735"/>
      <c r="H90" s="756"/>
      <c r="I90" s="709"/>
      <c r="J90" s="709"/>
      <c r="K90" s="731"/>
      <c r="L90" s="773" t="s">
        <v>237</v>
      </c>
      <c r="M90" s="842" t="e">
        <f>+M89-M88</f>
        <v>#N/A</v>
      </c>
      <c r="N90" s="842" t="e">
        <f>+N89-N88</f>
        <v>#N/A</v>
      </c>
      <c r="O90" s="843" t="e">
        <f>+O89-O88</f>
        <v>#N/A</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c r="E93" s="726" t="s">
        <v>68</v>
      </c>
      <c r="H93" s="766"/>
      <c r="I93" s="766"/>
      <c r="J93" s="767">
        <v>2016</v>
      </c>
      <c r="K93" s="555"/>
      <c r="L93" s="1538" t="s">
        <v>69</v>
      </c>
      <c r="M93" s="1538"/>
      <c r="N93" s="1538"/>
      <c r="O93" s="1538"/>
      <c r="P93" s="426"/>
    </row>
    <row r="94" spans="1:17">
      <c r="C94" s="765" t="s">
        <v>70</v>
      </c>
      <c r="D94" s="810"/>
      <c r="E94" s="765" t="s">
        <v>71</v>
      </c>
      <c r="F94" s="766"/>
      <c r="G94" s="766"/>
      <c r="I94" s="173"/>
      <c r="J94" s="811">
        <f>IF(H87="",0,$F$17)</f>
        <v>0</v>
      </c>
      <c r="K94" s="768"/>
      <c r="L94" s="731" t="s">
        <v>277</v>
      </c>
      <c r="P94" s="426"/>
    </row>
    <row r="95" spans="1:17">
      <c r="C95" s="765" t="s">
        <v>72</v>
      </c>
      <c r="D95" s="809"/>
      <c r="E95" s="765" t="s">
        <v>73</v>
      </c>
      <c r="F95" s="766"/>
      <c r="G95" s="766"/>
      <c r="I95" s="173"/>
      <c r="J95" s="769">
        <f>$F$70</f>
        <v>0.12461255064799079</v>
      </c>
      <c r="K95" s="770"/>
      <c r="L95" s="314" t="str">
        <f>"          INPUT TRUE-UP ARR (WITH &amp; WITHOUT INCENTIVES) FROM EACH PRIOR YEAR"</f>
        <v xml:space="preserve">          INPUT TRUE-UP ARR (WITH &amp; WITHOUT INCENTIVES) FROM EACH PRIOR YEAR</v>
      </c>
      <c r="P95" s="426"/>
    </row>
    <row r="96" spans="1:17">
      <c r="C96" s="765" t="s">
        <v>74</v>
      </c>
      <c r="D96" s="771">
        <f>H$79</f>
        <v>37</v>
      </c>
      <c r="E96" s="765" t="s">
        <v>75</v>
      </c>
      <c r="F96" s="766"/>
      <c r="G96" s="766"/>
      <c r="I96" s="173"/>
      <c r="J96" s="769">
        <f>IF(H87="",+J95,$F$69)</f>
        <v>0.12461255064799079</v>
      </c>
      <c r="K96" s="772"/>
      <c r="L96" s="314" t="s">
        <v>157</v>
      </c>
      <c r="M96" s="772"/>
      <c r="N96" s="772"/>
      <c r="O96" s="772"/>
      <c r="P96" s="426"/>
    </row>
    <row r="97" spans="2:16" ht="13.5" thickBot="1">
      <c r="C97" s="765" t="s">
        <v>76</v>
      </c>
      <c r="D97" s="808"/>
      <c r="E97" s="773" t="s">
        <v>77</v>
      </c>
      <c r="F97" s="774"/>
      <c r="G97" s="774"/>
      <c r="H97" s="775"/>
      <c r="I97" s="775"/>
      <c r="J97" s="753">
        <f>IF(D93=0,0,D93/D96)</f>
        <v>0</v>
      </c>
      <c r="K97" s="731"/>
      <c r="L97" s="731" t="s">
        <v>158</v>
      </c>
      <c r="M97" s="731"/>
      <c r="N97" s="731"/>
      <c r="O97" s="731"/>
      <c r="P97" s="426"/>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467</v>
      </c>
      <c r="D99" s="783" t="s">
        <v>468</v>
      </c>
      <c r="E99" s="782" t="s">
        <v>361</v>
      </c>
      <c r="F99" s="783" t="s">
        <v>468</v>
      </c>
      <c r="G99" s="783" t="s">
        <v>468</v>
      </c>
      <c r="H99" s="784" t="s">
        <v>93</v>
      </c>
      <c r="I99" s="785" t="s">
        <v>95</v>
      </c>
      <c r="J99" s="786" t="s">
        <v>15</v>
      </c>
      <c r="K99" s="787"/>
      <c r="L99" s="784" t="s">
        <v>82</v>
      </c>
      <c r="M99" s="784" t="s">
        <v>82</v>
      </c>
      <c r="N99" s="784" t="s">
        <v>255</v>
      </c>
      <c r="O99" s="784" t="s">
        <v>255</v>
      </c>
      <c r="P99" s="784" t="s">
        <v>255</v>
      </c>
    </row>
    <row r="100" spans="2:16">
      <c r="C100" s="789" t="str">
        <f>IF(D94= "","-",D94)</f>
        <v>-</v>
      </c>
      <c r="D100" s="737">
        <f>+D93</f>
        <v>0</v>
      </c>
      <c r="E100" s="795">
        <f>+J97/12*(12-D95)</f>
        <v>0</v>
      </c>
      <c r="F100" s="844">
        <f t="shared" ref="F100:F159" si="0">+D100-E100</f>
        <v>0</v>
      </c>
      <c r="G100" s="737">
        <f>+(D100+F100)/2</f>
        <v>0</v>
      </c>
      <c r="H100" s="791">
        <f>+J95*G100+E100</f>
        <v>0</v>
      </c>
      <c r="I100" s="792">
        <f>+J96*G100+E100</f>
        <v>0</v>
      </c>
      <c r="J100" s="793">
        <f>+I100-H100</f>
        <v>0</v>
      </c>
      <c r="K100" s="793"/>
      <c r="L100" s="812"/>
      <c r="M100" s="845">
        <f t="shared" ref="M100:M159" si="1">IF(L100&lt;&gt;0,+H100-L100,0)</f>
        <v>0</v>
      </c>
      <c r="N100" s="812"/>
      <c r="O100" s="845">
        <f t="shared" ref="O100:O159" si="2">IF(N100&lt;&gt;0,+I100-N100,0)</f>
        <v>0</v>
      </c>
      <c r="P100" s="845">
        <f t="shared" ref="P100:P159" si="3">+O100-M100</f>
        <v>0</v>
      </c>
    </row>
    <row r="101" spans="2:16">
      <c r="C101" s="789" t="str">
        <f>IF(D94="","-",+C100+1)</f>
        <v>-</v>
      </c>
      <c r="D101" s="737">
        <f t="shared" ref="D101:D159" si="4">F100</f>
        <v>0</v>
      </c>
      <c r="E101" s="790">
        <f>IF(D101&gt;$J$97,$J$97,D101)</f>
        <v>0</v>
      </c>
      <c r="F101" s="790">
        <f t="shared" si="0"/>
        <v>0</v>
      </c>
      <c r="G101" s="737">
        <f t="shared" ref="G101:G159" si="5">+(D101+F101)/2</f>
        <v>0</v>
      </c>
      <c r="H101" s="795">
        <f>+J95*G101+E101</f>
        <v>0</v>
      </c>
      <c r="I101" s="796">
        <f>+J96*G101+E101</f>
        <v>0</v>
      </c>
      <c r="J101" s="793">
        <f>+I101-H101</f>
        <v>0</v>
      </c>
      <c r="K101" s="793"/>
      <c r="L101" s="813"/>
      <c r="M101" s="793">
        <f t="shared" si="1"/>
        <v>0</v>
      </c>
      <c r="N101" s="813"/>
      <c r="O101" s="793">
        <f t="shared" si="2"/>
        <v>0</v>
      </c>
      <c r="P101" s="793">
        <f t="shared" si="3"/>
        <v>0</v>
      </c>
    </row>
    <row r="102" spans="2:16">
      <c r="C102" s="789" t="str">
        <f>IF(D94="","-",+C101+1)</f>
        <v>-</v>
      </c>
      <c r="D102" s="737">
        <f t="shared" si="4"/>
        <v>0</v>
      </c>
      <c r="E102" s="790">
        <f t="shared" ref="E102:E159" si="6">IF(D102&gt;$J$97,$J$97,D102)</f>
        <v>0</v>
      </c>
      <c r="F102" s="790">
        <f t="shared" si="0"/>
        <v>0</v>
      </c>
      <c r="G102" s="737">
        <f t="shared" si="5"/>
        <v>0</v>
      </c>
      <c r="H102" s="795">
        <f>+J95*G102+E102</f>
        <v>0</v>
      </c>
      <c r="I102" s="796">
        <f>+J96*G102+E102</f>
        <v>0</v>
      </c>
      <c r="J102" s="793">
        <f t="shared" ref="J102:J159" si="7">+I102-H102</f>
        <v>0</v>
      </c>
      <c r="K102" s="793"/>
      <c r="L102" s="813"/>
      <c r="M102" s="793">
        <f t="shared" si="1"/>
        <v>0</v>
      </c>
      <c r="N102" s="813"/>
      <c r="O102" s="793">
        <f t="shared" si="2"/>
        <v>0</v>
      </c>
      <c r="P102" s="793">
        <f t="shared" si="3"/>
        <v>0</v>
      </c>
    </row>
    <row r="103" spans="2:16">
      <c r="C103" s="789" t="str">
        <f>IF(D94="","-",+C102+1)</f>
        <v>-</v>
      </c>
      <c r="D103" s="737">
        <f t="shared" si="4"/>
        <v>0</v>
      </c>
      <c r="E103" s="790">
        <f t="shared" si="6"/>
        <v>0</v>
      </c>
      <c r="F103" s="790">
        <f t="shared" si="0"/>
        <v>0</v>
      </c>
      <c r="G103" s="737">
        <f t="shared" si="5"/>
        <v>0</v>
      </c>
      <c r="H103" s="795">
        <f>+J95*G103+E103</f>
        <v>0</v>
      </c>
      <c r="I103" s="796">
        <f>+J96*G103+E103</f>
        <v>0</v>
      </c>
      <c r="J103" s="793">
        <f t="shared" si="7"/>
        <v>0</v>
      </c>
      <c r="K103" s="793"/>
      <c r="L103" s="813"/>
      <c r="M103" s="793">
        <f t="shared" si="1"/>
        <v>0</v>
      </c>
      <c r="N103" s="813"/>
      <c r="O103" s="793">
        <f t="shared" si="2"/>
        <v>0</v>
      </c>
      <c r="P103" s="793">
        <f t="shared" si="3"/>
        <v>0</v>
      </c>
    </row>
    <row r="104" spans="2:16">
      <c r="C104" s="789" t="str">
        <f>IF(D94="","-",+C103+1)</f>
        <v>-</v>
      </c>
      <c r="D104" s="737">
        <f t="shared" si="4"/>
        <v>0</v>
      </c>
      <c r="E104" s="790">
        <f t="shared" si="6"/>
        <v>0</v>
      </c>
      <c r="F104" s="790">
        <f t="shared" si="0"/>
        <v>0</v>
      </c>
      <c r="G104" s="737">
        <f t="shared" si="5"/>
        <v>0</v>
      </c>
      <c r="H104" s="795">
        <f>+J95*G104+E104</f>
        <v>0</v>
      </c>
      <c r="I104" s="796">
        <f>+J96*G104+E104</f>
        <v>0</v>
      </c>
      <c r="J104" s="793">
        <f t="shared" si="7"/>
        <v>0</v>
      </c>
      <c r="K104" s="793"/>
      <c r="L104" s="813"/>
      <c r="M104" s="793">
        <f t="shared" si="1"/>
        <v>0</v>
      </c>
      <c r="N104" s="813"/>
      <c r="O104" s="793">
        <f t="shared" si="2"/>
        <v>0</v>
      </c>
      <c r="P104" s="793">
        <f t="shared" si="3"/>
        <v>0</v>
      </c>
    </row>
    <row r="105" spans="2:16">
      <c r="C105" s="789" t="str">
        <f>IF(D94="","-",+C104+1)</f>
        <v>-</v>
      </c>
      <c r="D105" s="737">
        <f t="shared" si="4"/>
        <v>0</v>
      </c>
      <c r="E105" s="790">
        <f t="shared" si="6"/>
        <v>0</v>
      </c>
      <c r="F105" s="790">
        <f t="shared" si="0"/>
        <v>0</v>
      </c>
      <c r="G105" s="737">
        <f t="shared" si="5"/>
        <v>0</v>
      </c>
      <c r="H105" s="795">
        <f>+J95*G105+E105</f>
        <v>0</v>
      </c>
      <c r="I105" s="796">
        <f>+J96*G105+E105</f>
        <v>0</v>
      </c>
      <c r="J105" s="793">
        <f t="shared" si="7"/>
        <v>0</v>
      </c>
      <c r="K105" s="793"/>
      <c r="L105" s="813"/>
      <c r="M105" s="793">
        <f t="shared" si="1"/>
        <v>0</v>
      </c>
      <c r="N105" s="813"/>
      <c r="O105" s="793">
        <f t="shared" si="2"/>
        <v>0</v>
      </c>
      <c r="P105" s="793">
        <f t="shared" si="3"/>
        <v>0</v>
      </c>
    </row>
    <row r="106" spans="2:16">
      <c r="C106" s="789" t="str">
        <f>IF(D94="","-",+C105+1)</f>
        <v>-</v>
      </c>
      <c r="D106" s="737">
        <f t="shared" si="4"/>
        <v>0</v>
      </c>
      <c r="E106" s="790">
        <f t="shared" si="6"/>
        <v>0</v>
      </c>
      <c r="F106" s="790">
        <f t="shared" si="0"/>
        <v>0</v>
      </c>
      <c r="G106" s="737">
        <f t="shared" si="5"/>
        <v>0</v>
      </c>
      <c r="H106" s="795">
        <f>+J95*G106+E106</f>
        <v>0</v>
      </c>
      <c r="I106" s="796">
        <f>+J96*G106+E106</f>
        <v>0</v>
      </c>
      <c r="J106" s="793">
        <f t="shared" si="7"/>
        <v>0</v>
      </c>
      <c r="K106" s="793"/>
      <c r="L106" s="813"/>
      <c r="M106" s="793">
        <f t="shared" si="1"/>
        <v>0</v>
      </c>
      <c r="N106" s="813"/>
      <c r="O106" s="793">
        <f t="shared" si="2"/>
        <v>0</v>
      </c>
      <c r="P106" s="793">
        <f t="shared" si="3"/>
        <v>0</v>
      </c>
    </row>
    <row r="107" spans="2:16">
      <c r="C107" s="789" t="str">
        <f>IF(D94="","-",+C106+1)</f>
        <v>-</v>
      </c>
      <c r="D107" s="737">
        <f t="shared" si="4"/>
        <v>0</v>
      </c>
      <c r="E107" s="790">
        <f t="shared" si="6"/>
        <v>0</v>
      </c>
      <c r="F107" s="790">
        <f t="shared" si="0"/>
        <v>0</v>
      </c>
      <c r="G107" s="737">
        <f t="shared" si="5"/>
        <v>0</v>
      </c>
      <c r="H107" s="795">
        <f>+J95*G107+E107</f>
        <v>0</v>
      </c>
      <c r="I107" s="796">
        <f>+J96*G107+E107</f>
        <v>0</v>
      </c>
      <c r="J107" s="793">
        <f t="shared" si="7"/>
        <v>0</v>
      </c>
      <c r="K107" s="793"/>
      <c r="L107" s="813"/>
      <c r="M107" s="793">
        <f t="shared" si="1"/>
        <v>0</v>
      </c>
      <c r="N107" s="813"/>
      <c r="O107" s="793">
        <f t="shared" si="2"/>
        <v>0</v>
      </c>
      <c r="P107" s="793">
        <f t="shared" si="3"/>
        <v>0</v>
      </c>
    </row>
    <row r="108" spans="2:16">
      <c r="C108" s="789" t="str">
        <f>IF(D94="","-",+C107+1)</f>
        <v>-</v>
      </c>
      <c r="D108" s="737">
        <f t="shared" si="4"/>
        <v>0</v>
      </c>
      <c r="E108" s="790">
        <f t="shared" si="6"/>
        <v>0</v>
      </c>
      <c r="F108" s="790">
        <f t="shared" si="0"/>
        <v>0</v>
      </c>
      <c r="G108" s="737">
        <f t="shared" si="5"/>
        <v>0</v>
      </c>
      <c r="H108" s="795">
        <f>+J95*G108+E108</f>
        <v>0</v>
      </c>
      <c r="I108" s="796">
        <f>+J96*G108+E108</f>
        <v>0</v>
      </c>
      <c r="J108" s="793">
        <f t="shared" si="7"/>
        <v>0</v>
      </c>
      <c r="K108" s="793"/>
      <c r="L108" s="813"/>
      <c r="M108" s="793">
        <f t="shared" si="1"/>
        <v>0</v>
      </c>
      <c r="N108" s="813"/>
      <c r="O108" s="793">
        <f t="shared" si="2"/>
        <v>0</v>
      </c>
      <c r="P108" s="793">
        <f t="shared" si="3"/>
        <v>0</v>
      </c>
    </row>
    <row r="109" spans="2:16">
      <c r="C109" s="789" t="str">
        <f>IF(D94="","-",+C108+1)</f>
        <v>-</v>
      </c>
      <c r="D109" s="737">
        <f t="shared" si="4"/>
        <v>0</v>
      </c>
      <c r="E109" s="790">
        <f t="shared" si="6"/>
        <v>0</v>
      </c>
      <c r="F109" s="790">
        <f t="shared" si="0"/>
        <v>0</v>
      </c>
      <c r="G109" s="737">
        <f t="shared" si="5"/>
        <v>0</v>
      </c>
      <c r="H109" s="795">
        <f>+J95*G109+E109</f>
        <v>0</v>
      </c>
      <c r="I109" s="796">
        <f>+J96*G109+E109</f>
        <v>0</v>
      </c>
      <c r="J109" s="793">
        <f t="shared" si="7"/>
        <v>0</v>
      </c>
      <c r="K109" s="793"/>
      <c r="L109" s="813"/>
      <c r="M109" s="793">
        <f t="shared" si="1"/>
        <v>0</v>
      </c>
      <c r="N109" s="813"/>
      <c r="O109" s="793">
        <f t="shared" si="2"/>
        <v>0</v>
      </c>
      <c r="P109" s="793">
        <f t="shared" si="3"/>
        <v>0</v>
      </c>
    </row>
    <row r="110" spans="2:16">
      <c r="C110" s="789" t="str">
        <f>IF(D94="","-",+C109+1)</f>
        <v>-</v>
      </c>
      <c r="D110" s="737">
        <f t="shared" si="4"/>
        <v>0</v>
      </c>
      <c r="E110" s="790">
        <f t="shared" si="6"/>
        <v>0</v>
      </c>
      <c r="F110" s="790">
        <f t="shared" si="0"/>
        <v>0</v>
      </c>
      <c r="G110" s="737">
        <f t="shared" si="5"/>
        <v>0</v>
      </c>
      <c r="H110" s="795">
        <f>+J95*G110+E110</f>
        <v>0</v>
      </c>
      <c r="I110" s="796">
        <f>+J96*G110+E110</f>
        <v>0</v>
      </c>
      <c r="J110" s="793">
        <f t="shared" si="7"/>
        <v>0</v>
      </c>
      <c r="K110" s="793"/>
      <c r="L110" s="813"/>
      <c r="M110" s="793">
        <f t="shared" si="1"/>
        <v>0</v>
      </c>
      <c r="N110" s="813"/>
      <c r="O110" s="793">
        <f t="shared" si="2"/>
        <v>0</v>
      </c>
      <c r="P110" s="793">
        <f t="shared" si="3"/>
        <v>0</v>
      </c>
    </row>
    <row r="111" spans="2:16">
      <c r="C111" s="789" t="str">
        <f>IF(D94="","-",+C110+1)</f>
        <v>-</v>
      </c>
      <c r="D111" s="737">
        <f t="shared" si="4"/>
        <v>0</v>
      </c>
      <c r="E111" s="790">
        <f t="shared" si="6"/>
        <v>0</v>
      </c>
      <c r="F111" s="790">
        <f t="shared" si="0"/>
        <v>0</v>
      </c>
      <c r="G111" s="737">
        <f t="shared" si="5"/>
        <v>0</v>
      </c>
      <c r="H111" s="795">
        <f>+J95*G111+E111</f>
        <v>0</v>
      </c>
      <c r="I111" s="796">
        <f>+J96*G111+E111</f>
        <v>0</v>
      </c>
      <c r="J111" s="793">
        <f t="shared" si="7"/>
        <v>0</v>
      </c>
      <c r="K111" s="793"/>
      <c r="L111" s="813"/>
      <c r="M111" s="793">
        <f t="shared" si="1"/>
        <v>0</v>
      </c>
      <c r="N111" s="813"/>
      <c r="O111" s="793">
        <f t="shared" si="2"/>
        <v>0</v>
      </c>
      <c r="P111" s="793">
        <f t="shared" si="3"/>
        <v>0</v>
      </c>
    </row>
    <row r="112" spans="2:16">
      <c r="C112" s="789" t="str">
        <f>IF(D94="","-",+C111+1)</f>
        <v>-</v>
      </c>
      <c r="D112" s="737">
        <f t="shared" si="4"/>
        <v>0</v>
      </c>
      <c r="E112" s="790">
        <f t="shared" si="6"/>
        <v>0</v>
      </c>
      <c r="F112" s="790">
        <f t="shared" si="0"/>
        <v>0</v>
      </c>
      <c r="G112" s="737">
        <f t="shared" si="5"/>
        <v>0</v>
      </c>
      <c r="H112" s="795">
        <f>+J95*G112+E112</f>
        <v>0</v>
      </c>
      <c r="I112" s="796">
        <f>+J96*G112+E112</f>
        <v>0</v>
      </c>
      <c r="J112" s="793">
        <f t="shared" si="7"/>
        <v>0</v>
      </c>
      <c r="K112" s="793"/>
      <c r="L112" s="813"/>
      <c r="M112" s="793">
        <f t="shared" si="1"/>
        <v>0</v>
      </c>
      <c r="N112" s="813"/>
      <c r="O112" s="793">
        <f t="shared" si="2"/>
        <v>0</v>
      </c>
      <c r="P112" s="793">
        <f t="shared" si="3"/>
        <v>0</v>
      </c>
    </row>
    <row r="113" spans="3:16">
      <c r="C113" s="789" t="str">
        <f>IF(D94="","-",+C112+1)</f>
        <v>-</v>
      </c>
      <c r="D113" s="737">
        <f t="shared" si="4"/>
        <v>0</v>
      </c>
      <c r="E113" s="790">
        <f t="shared" si="6"/>
        <v>0</v>
      </c>
      <c r="F113" s="790">
        <f t="shared" si="0"/>
        <v>0</v>
      </c>
      <c r="G113" s="737">
        <f t="shared" si="5"/>
        <v>0</v>
      </c>
      <c r="H113" s="795">
        <f>+J95*G113+E113</f>
        <v>0</v>
      </c>
      <c r="I113" s="796">
        <f>+J96*G113+E113</f>
        <v>0</v>
      </c>
      <c r="J113" s="793">
        <f t="shared" si="7"/>
        <v>0</v>
      </c>
      <c r="K113" s="793"/>
      <c r="L113" s="813"/>
      <c r="M113" s="793">
        <f t="shared" si="1"/>
        <v>0</v>
      </c>
      <c r="N113" s="813"/>
      <c r="O113" s="793">
        <f t="shared" si="2"/>
        <v>0</v>
      </c>
      <c r="P113" s="793">
        <f t="shared" si="3"/>
        <v>0</v>
      </c>
    </row>
    <row r="114" spans="3:16">
      <c r="C114" s="789" t="str">
        <f>IF(D94="","-",+C113+1)</f>
        <v>-</v>
      </c>
      <c r="D114" s="737">
        <f t="shared" si="4"/>
        <v>0</v>
      </c>
      <c r="E114" s="790">
        <f t="shared" si="6"/>
        <v>0</v>
      </c>
      <c r="F114" s="790">
        <f t="shared" si="0"/>
        <v>0</v>
      </c>
      <c r="G114" s="737">
        <f t="shared" si="5"/>
        <v>0</v>
      </c>
      <c r="H114" s="795">
        <f>+J95*G114+E114</f>
        <v>0</v>
      </c>
      <c r="I114" s="796">
        <f>+J96*G114+E114</f>
        <v>0</v>
      </c>
      <c r="J114" s="793">
        <f t="shared" si="7"/>
        <v>0</v>
      </c>
      <c r="K114" s="793"/>
      <c r="L114" s="813"/>
      <c r="M114" s="793">
        <f t="shared" si="1"/>
        <v>0</v>
      </c>
      <c r="N114" s="813"/>
      <c r="O114" s="793">
        <f t="shared" si="2"/>
        <v>0</v>
      </c>
      <c r="P114" s="793">
        <f t="shared" si="3"/>
        <v>0</v>
      </c>
    </row>
    <row r="115" spans="3:16">
      <c r="C115" s="789" t="str">
        <f>IF(D94="","-",+C114+1)</f>
        <v>-</v>
      </c>
      <c r="D115" s="737">
        <f t="shared" si="4"/>
        <v>0</v>
      </c>
      <c r="E115" s="790">
        <f t="shared" si="6"/>
        <v>0</v>
      </c>
      <c r="F115" s="790">
        <f t="shared" si="0"/>
        <v>0</v>
      </c>
      <c r="G115" s="737">
        <f t="shared" si="5"/>
        <v>0</v>
      </c>
      <c r="H115" s="795">
        <f>+J95*G115+E115</f>
        <v>0</v>
      </c>
      <c r="I115" s="796">
        <f>+J96*G115+E115</f>
        <v>0</v>
      </c>
      <c r="J115" s="793">
        <f t="shared" si="7"/>
        <v>0</v>
      </c>
      <c r="K115" s="793"/>
      <c r="L115" s="813"/>
      <c r="M115" s="793">
        <f t="shared" si="1"/>
        <v>0</v>
      </c>
      <c r="N115" s="813"/>
      <c r="O115" s="793">
        <f t="shared" si="2"/>
        <v>0</v>
      </c>
      <c r="P115" s="793">
        <f t="shared" si="3"/>
        <v>0</v>
      </c>
    </row>
    <row r="116" spans="3:16">
      <c r="C116" s="789" t="str">
        <f>IF(D94="","-",+C115+1)</f>
        <v>-</v>
      </c>
      <c r="D116" s="737">
        <f t="shared" si="4"/>
        <v>0</v>
      </c>
      <c r="E116" s="790">
        <f t="shared" si="6"/>
        <v>0</v>
      </c>
      <c r="F116" s="790">
        <f t="shared" si="0"/>
        <v>0</v>
      </c>
      <c r="G116" s="737">
        <f t="shared" si="5"/>
        <v>0</v>
      </c>
      <c r="H116" s="795">
        <f>+J95*G116+E116</f>
        <v>0</v>
      </c>
      <c r="I116" s="796">
        <f>+J96*G116+E116</f>
        <v>0</v>
      </c>
      <c r="J116" s="793">
        <f t="shared" si="7"/>
        <v>0</v>
      </c>
      <c r="K116" s="793"/>
      <c r="L116" s="813"/>
      <c r="M116" s="793">
        <f t="shared" si="1"/>
        <v>0</v>
      </c>
      <c r="N116" s="813"/>
      <c r="O116" s="793">
        <f t="shared" si="2"/>
        <v>0</v>
      </c>
      <c r="P116" s="793">
        <f t="shared" si="3"/>
        <v>0</v>
      </c>
    </row>
    <row r="117" spans="3:16">
      <c r="C117" s="789" t="str">
        <f>IF(D94="","-",+C116+1)</f>
        <v>-</v>
      </c>
      <c r="D117" s="737">
        <f t="shared" si="4"/>
        <v>0</v>
      </c>
      <c r="E117" s="790">
        <f t="shared" si="6"/>
        <v>0</v>
      </c>
      <c r="F117" s="790">
        <f t="shared" si="0"/>
        <v>0</v>
      </c>
      <c r="G117" s="737">
        <f t="shared" si="5"/>
        <v>0</v>
      </c>
      <c r="H117" s="795">
        <f>+J95*G117+E117</f>
        <v>0</v>
      </c>
      <c r="I117" s="796">
        <f>+J96*G117+E117</f>
        <v>0</v>
      </c>
      <c r="J117" s="793">
        <f t="shared" si="7"/>
        <v>0</v>
      </c>
      <c r="K117" s="793"/>
      <c r="L117" s="813"/>
      <c r="M117" s="793">
        <f t="shared" si="1"/>
        <v>0</v>
      </c>
      <c r="N117" s="813"/>
      <c r="O117" s="793">
        <f t="shared" si="2"/>
        <v>0</v>
      </c>
      <c r="P117" s="793">
        <f t="shared" si="3"/>
        <v>0</v>
      </c>
    </row>
    <row r="118" spans="3:16">
      <c r="C118" s="789" t="str">
        <f>IF(D94="","-",+C117+1)</f>
        <v>-</v>
      </c>
      <c r="D118" s="737">
        <f t="shared" si="4"/>
        <v>0</v>
      </c>
      <c r="E118" s="790">
        <f t="shared" si="6"/>
        <v>0</v>
      </c>
      <c r="F118" s="790">
        <f t="shared" si="0"/>
        <v>0</v>
      </c>
      <c r="G118" s="737">
        <f t="shared" si="5"/>
        <v>0</v>
      </c>
      <c r="H118" s="795">
        <f>+J95*G118+E118</f>
        <v>0</v>
      </c>
      <c r="I118" s="796">
        <f>+J96*G118+E118</f>
        <v>0</v>
      </c>
      <c r="J118" s="793">
        <f t="shared" si="7"/>
        <v>0</v>
      </c>
      <c r="K118" s="793"/>
      <c r="L118" s="813"/>
      <c r="M118" s="793">
        <f t="shared" si="1"/>
        <v>0</v>
      </c>
      <c r="N118" s="813"/>
      <c r="O118" s="793">
        <f t="shared" si="2"/>
        <v>0</v>
      </c>
      <c r="P118" s="793">
        <f t="shared" si="3"/>
        <v>0</v>
      </c>
    </row>
    <row r="119" spans="3:16">
      <c r="C119" s="789" t="str">
        <f>IF(D94="","-",+C118+1)</f>
        <v>-</v>
      </c>
      <c r="D119" s="737">
        <f t="shared" si="4"/>
        <v>0</v>
      </c>
      <c r="E119" s="790">
        <f t="shared" si="6"/>
        <v>0</v>
      </c>
      <c r="F119" s="790">
        <f t="shared" si="0"/>
        <v>0</v>
      </c>
      <c r="G119" s="737">
        <f t="shared" si="5"/>
        <v>0</v>
      </c>
      <c r="H119" s="795">
        <f>+J95*G119+E119</f>
        <v>0</v>
      </c>
      <c r="I119" s="796">
        <f>+J96*G119+E119</f>
        <v>0</v>
      </c>
      <c r="J119" s="793">
        <f t="shared" si="7"/>
        <v>0</v>
      </c>
      <c r="K119" s="793"/>
      <c r="L119" s="813"/>
      <c r="M119" s="793">
        <f t="shared" si="1"/>
        <v>0</v>
      </c>
      <c r="N119" s="813"/>
      <c r="O119" s="793">
        <f t="shared" si="2"/>
        <v>0</v>
      </c>
      <c r="P119" s="793">
        <f t="shared" si="3"/>
        <v>0</v>
      </c>
    </row>
    <row r="120" spans="3:16">
      <c r="C120" s="789" t="str">
        <f>IF(D94="","-",+C119+1)</f>
        <v>-</v>
      </c>
      <c r="D120" s="737">
        <f t="shared" si="4"/>
        <v>0</v>
      </c>
      <c r="E120" s="790">
        <f t="shared" si="6"/>
        <v>0</v>
      </c>
      <c r="F120" s="790">
        <f t="shared" si="0"/>
        <v>0</v>
      </c>
      <c r="G120" s="737">
        <f t="shared" si="5"/>
        <v>0</v>
      </c>
      <c r="H120" s="795">
        <f>+J95*G120+E120</f>
        <v>0</v>
      </c>
      <c r="I120" s="796">
        <f>+J96*G120+E120</f>
        <v>0</v>
      </c>
      <c r="J120" s="793">
        <f t="shared" si="7"/>
        <v>0</v>
      </c>
      <c r="K120" s="793"/>
      <c r="L120" s="813"/>
      <c r="M120" s="793">
        <f t="shared" si="1"/>
        <v>0</v>
      </c>
      <c r="N120" s="813"/>
      <c r="O120" s="793">
        <f t="shared" si="2"/>
        <v>0</v>
      </c>
      <c r="P120" s="793">
        <f t="shared" si="3"/>
        <v>0</v>
      </c>
    </row>
    <row r="121" spans="3:16">
      <c r="C121" s="789" t="str">
        <f>IF(D94="","-",+C120+1)</f>
        <v>-</v>
      </c>
      <c r="D121" s="737">
        <f t="shared" si="4"/>
        <v>0</v>
      </c>
      <c r="E121" s="790">
        <f t="shared" si="6"/>
        <v>0</v>
      </c>
      <c r="F121" s="790">
        <f t="shared" si="0"/>
        <v>0</v>
      </c>
      <c r="G121" s="737">
        <f t="shared" si="5"/>
        <v>0</v>
      </c>
      <c r="H121" s="795">
        <f>+J95*G121+E121</f>
        <v>0</v>
      </c>
      <c r="I121" s="796">
        <f>+J96*G121+E121</f>
        <v>0</v>
      </c>
      <c r="J121" s="793">
        <f t="shared" si="7"/>
        <v>0</v>
      </c>
      <c r="K121" s="793"/>
      <c r="L121" s="813"/>
      <c r="M121" s="793">
        <f t="shared" si="1"/>
        <v>0</v>
      </c>
      <c r="N121" s="813"/>
      <c r="O121" s="793">
        <f t="shared" si="2"/>
        <v>0</v>
      </c>
      <c r="P121" s="793">
        <f t="shared" si="3"/>
        <v>0</v>
      </c>
    </row>
    <row r="122" spans="3:16">
      <c r="C122" s="789" t="str">
        <f>IF(D94="","-",+C121+1)</f>
        <v>-</v>
      </c>
      <c r="D122" s="737">
        <f t="shared" si="4"/>
        <v>0</v>
      </c>
      <c r="E122" s="790">
        <f t="shared" si="6"/>
        <v>0</v>
      </c>
      <c r="F122" s="790">
        <f t="shared" si="0"/>
        <v>0</v>
      </c>
      <c r="G122" s="737">
        <f t="shared" si="5"/>
        <v>0</v>
      </c>
      <c r="H122" s="795">
        <f>+J95*G122+E122</f>
        <v>0</v>
      </c>
      <c r="I122" s="796">
        <f>+J96*G122+E122</f>
        <v>0</v>
      </c>
      <c r="J122" s="793">
        <f t="shared" si="7"/>
        <v>0</v>
      </c>
      <c r="K122" s="793"/>
      <c r="L122" s="813"/>
      <c r="M122" s="793">
        <f t="shared" si="1"/>
        <v>0</v>
      </c>
      <c r="N122" s="813"/>
      <c r="O122" s="793">
        <f t="shared" si="2"/>
        <v>0</v>
      </c>
      <c r="P122" s="793">
        <f t="shared" si="3"/>
        <v>0</v>
      </c>
    </row>
    <row r="123" spans="3:16">
      <c r="C123" s="789" t="str">
        <f>IF(D94="","-",+C122+1)</f>
        <v>-</v>
      </c>
      <c r="D123" s="737">
        <f t="shared" si="4"/>
        <v>0</v>
      </c>
      <c r="E123" s="790">
        <f t="shared" si="6"/>
        <v>0</v>
      </c>
      <c r="F123" s="790">
        <f t="shared" si="0"/>
        <v>0</v>
      </c>
      <c r="G123" s="737">
        <f t="shared" si="5"/>
        <v>0</v>
      </c>
      <c r="H123" s="795">
        <f>+J95*G123+E123</f>
        <v>0</v>
      </c>
      <c r="I123" s="796">
        <f>+J96*G123+E123</f>
        <v>0</v>
      </c>
      <c r="J123" s="793">
        <f t="shared" si="7"/>
        <v>0</v>
      </c>
      <c r="K123" s="793"/>
      <c r="L123" s="813"/>
      <c r="M123" s="793">
        <f t="shared" si="1"/>
        <v>0</v>
      </c>
      <c r="N123" s="813"/>
      <c r="O123" s="793">
        <f t="shared" si="2"/>
        <v>0</v>
      </c>
      <c r="P123" s="793">
        <f t="shared" si="3"/>
        <v>0</v>
      </c>
    </row>
    <row r="124" spans="3:16">
      <c r="C124" s="789" t="str">
        <f>IF(D94="","-",+C123+1)</f>
        <v>-</v>
      </c>
      <c r="D124" s="737">
        <f t="shared" si="4"/>
        <v>0</v>
      </c>
      <c r="E124" s="790">
        <f t="shared" si="6"/>
        <v>0</v>
      </c>
      <c r="F124" s="790">
        <f t="shared" si="0"/>
        <v>0</v>
      </c>
      <c r="G124" s="737">
        <f t="shared" si="5"/>
        <v>0</v>
      </c>
      <c r="H124" s="795">
        <f>+J95*G124+E124</f>
        <v>0</v>
      </c>
      <c r="I124" s="796">
        <f>+J96*G124+E124</f>
        <v>0</v>
      </c>
      <c r="J124" s="793">
        <f t="shared" si="7"/>
        <v>0</v>
      </c>
      <c r="K124" s="793"/>
      <c r="L124" s="813"/>
      <c r="M124" s="793">
        <f t="shared" si="1"/>
        <v>0</v>
      </c>
      <c r="N124" s="813"/>
      <c r="O124" s="793">
        <f t="shared" si="2"/>
        <v>0</v>
      </c>
      <c r="P124" s="793">
        <f t="shared" si="3"/>
        <v>0</v>
      </c>
    </row>
    <row r="125" spans="3:16">
      <c r="C125" s="789" t="str">
        <f>IF(D94="","-",+C124+1)</f>
        <v>-</v>
      </c>
      <c r="D125" s="737">
        <f t="shared" si="4"/>
        <v>0</v>
      </c>
      <c r="E125" s="790">
        <f t="shared" si="6"/>
        <v>0</v>
      </c>
      <c r="F125" s="790">
        <f t="shared" si="0"/>
        <v>0</v>
      </c>
      <c r="G125" s="737">
        <f t="shared" si="5"/>
        <v>0</v>
      </c>
      <c r="H125" s="795">
        <f>+J95*G125+E125</f>
        <v>0</v>
      </c>
      <c r="I125" s="796">
        <f>+J96*G125+E125</f>
        <v>0</v>
      </c>
      <c r="J125" s="793">
        <f t="shared" si="7"/>
        <v>0</v>
      </c>
      <c r="K125" s="793"/>
      <c r="L125" s="813"/>
      <c r="M125" s="793">
        <f t="shared" si="1"/>
        <v>0</v>
      </c>
      <c r="N125" s="813"/>
      <c r="O125" s="793">
        <f t="shared" si="2"/>
        <v>0</v>
      </c>
      <c r="P125" s="793">
        <f t="shared" si="3"/>
        <v>0</v>
      </c>
    </row>
    <row r="126" spans="3:16">
      <c r="C126" s="789" t="str">
        <f>IF(D94="","-",+C125+1)</f>
        <v>-</v>
      </c>
      <c r="D126" s="737">
        <f t="shared" si="4"/>
        <v>0</v>
      </c>
      <c r="E126" s="790">
        <f t="shared" si="6"/>
        <v>0</v>
      </c>
      <c r="F126" s="790">
        <f t="shared" si="0"/>
        <v>0</v>
      </c>
      <c r="G126" s="737">
        <f t="shared" si="5"/>
        <v>0</v>
      </c>
      <c r="H126" s="795">
        <f>+J95*G126+E126</f>
        <v>0</v>
      </c>
      <c r="I126" s="796">
        <f>+J96*G126+E126</f>
        <v>0</v>
      </c>
      <c r="J126" s="793">
        <f t="shared" si="7"/>
        <v>0</v>
      </c>
      <c r="K126" s="793"/>
      <c r="L126" s="813"/>
      <c r="M126" s="793">
        <f t="shared" si="1"/>
        <v>0</v>
      </c>
      <c r="N126" s="813"/>
      <c r="O126" s="793">
        <f t="shared" si="2"/>
        <v>0</v>
      </c>
      <c r="P126" s="793">
        <f t="shared" si="3"/>
        <v>0</v>
      </c>
    </row>
    <row r="127" spans="3:16">
      <c r="C127" s="789" t="str">
        <f>IF(D94="","-",+C126+1)</f>
        <v>-</v>
      </c>
      <c r="D127" s="737">
        <f t="shared" si="4"/>
        <v>0</v>
      </c>
      <c r="E127" s="790">
        <f t="shared" si="6"/>
        <v>0</v>
      </c>
      <c r="F127" s="790">
        <f t="shared" si="0"/>
        <v>0</v>
      </c>
      <c r="G127" s="737">
        <f t="shared" si="5"/>
        <v>0</v>
      </c>
      <c r="H127" s="795">
        <f>+J95*G127+E127</f>
        <v>0</v>
      </c>
      <c r="I127" s="796">
        <f>+J96*G127+E127</f>
        <v>0</v>
      </c>
      <c r="J127" s="793">
        <f t="shared" si="7"/>
        <v>0</v>
      </c>
      <c r="K127" s="793"/>
      <c r="L127" s="813"/>
      <c r="M127" s="793">
        <f t="shared" si="1"/>
        <v>0</v>
      </c>
      <c r="N127" s="813"/>
      <c r="O127" s="793">
        <f t="shared" si="2"/>
        <v>0</v>
      </c>
      <c r="P127" s="793">
        <f t="shared" si="3"/>
        <v>0</v>
      </c>
    </row>
    <row r="128" spans="3:16">
      <c r="C128" s="789" t="str">
        <f>IF(D94="","-",+C127+1)</f>
        <v>-</v>
      </c>
      <c r="D128" s="737">
        <f t="shared" si="4"/>
        <v>0</v>
      </c>
      <c r="E128" s="790">
        <f t="shared" si="6"/>
        <v>0</v>
      </c>
      <c r="F128" s="790">
        <f t="shared" si="0"/>
        <v>0</v>
      </c>
      <c r="G128" s="737">
        <f t="shared" si="5"/>
        <v>0</v>
      </c>
      <c r="H128" s="795">
        <f>+J95*G128+E128</f>
        <v>0</v>
      </c>
      <c r="I128" s="796">
        <f>+J96*G128+E128</f>
        <v>0</v>
      </c>
      <c r="J128" s="793">
        <f t="shared" si="7"/>
        <v>0</v>
      </c>
      <c r="K128" s="793"/>
      <c r="L128" s="813"/>
      <c r="M128" s="793">
        <f t="shared" si="1"/>
        <v>0</v>
      </c>
      <c r="N128" s="813"/>
      <c r="O128" s="793">
        <f t="shared" si="2"/>
        <v>0</v>
      </c>
      <c r="P128" s="793">
        <f t="shared" si="3"/>
        <v>0</v>
      </c>
    </row>
    <row r="129" spans="3:16">
      <c r="C129" s="789" t="str">
        <f>IF(D94="","-",+C128+1)</f>
        <v>-</v>
      </c>
      <c r="D129" s="737">
        <f t="shared" si="4"/>
        <v>0</v>
      </c>
      <c r="E129" s="790">
        <f t="shared" si="6"/>
        <v>0</v>
      </c>
      <c r="F129" s="790">
        <f t="shared" si="0"/>
        <v>0</v>
      </c>
      <c r="G129" s="737">
        <f t="shared" si="5"/>
        <v>0</v>
      </c>
      <c r="H129" s="795">
        <f>+J95*G129+E129</f>
        <v>0</v>
      </c>
      <c r="I129" s="796">
        <f>+J96*G129+E129</f>
        <v>0</v>
      </c>
      <c r="J129" s="793">
        <f t="shared" si="7"/>
        <v>0</v>
      </c>
      <c r="K129" s="793"/>
      <c r="L129" s="813"/>
      <c r="M129" s="793">
        <f t="shared" si="1"/>
        <v>0</v>
      </c>
      <c r="N129" s="813"/>
      <c r="O129" s="793">
        <f t="shared" si="2"/>
        <v>0</v>
      </c>
      <c r="P129" s="793">
        <f t="shared" si="3"/>
        <v>0</v>
      </c>
    </row>
    <row r="130" spans="3:16">
      <c r="C130" s="789" t="str">
        <f>IF(D94="","-",+C129+1)</f>
        <v>-</v>
      </c>
      <c r="D130" s="737">
        <f t="shared" si="4"/>
        <v>0</v>
      </c>
      <c r="E130" s="790">
        <f t="shared" si="6"/>
        <v>0</v>
      </c>
      <c r="F130" s="790">
        <f t="shared" si="0"/>
        <v>0</v>
      </c>
      <c r="G130" s="737">
        <f t="shared" si="5"/>
        <v>0</v>
      </c>
      <c r="H130" s="795">
        <f>+J95*G130+E130</f>
        <v>0</v>
      </c>
      <c r="I130" s="796">
        <f>+J96*G130+E130</f>
        <v>0</v>
      </c>
      <c r="J130" s="793">
        <f t="shared" si="7"/>
        <v>0</v>
      </c>
      <c r="K130" s="793"/>
      <c r="L130" s="813"/>
      <c r="M130" s="793">
        <f t="shared" si="1"/>
        <v>0</v>
      </c>
      <c r="N130" s="813"/>
      <c r="O130" s="793">
        <f t="shared" si="2"/>
        <v>0</v>
      </c>
      <c r="P130" s="793">
        <f t="shared" si="3"/>
        <v>0</v>
      </c>
    </row>
    <row r="131" spans="3:16">
      <c r="C131" s="789" t="str">
        <f>IF(D94="","-",+C130+1)</f>
        <v>-</v>
      </c>
      <c r="D131" s="737">
        <f t="shared" si="4"/>
        <v>0</v>
      </c>
      <c r="E131" s="790">
        <f t="shared" si="6"/>
        <v>0</v>
      </c>
      <c r="F131" s="790">
        <f t="shared" si="0"/>
        <v>0</v>
      </c>
      <c r="G131" s="737">
        <f t="shared" si="5"/>
        <v>0</v>
      </c>
      <c r="H131" s="795">
        <f>+J95*G131+E131</f>
        <v>0</v>
      </c>
      <c r="I131" s="796">
        <f>+J96*G131+E131</f>
        <v>0</v>
      </c>
      <c r="J131" s="793">
        <f t="shared" si="7"/>
        <v>0</v>
      </c>
      <c r="K131" s="793"/>
      <c r="L131" s="813"/>
      <c r="M131" s="793">
        <f t="shared" si="1"/>
        <v>0</v>
      </c>
      <c r="N131" s="813"/>
      <c r="O131" s="793">
        <f t="shared" si="2"/>
        <v>0</v>
      </c>
      <c r="P131" s="793">
        <f t="shared" si="3"/>
        <v>0</v>
      </c>
    </row>
    <row r="132" spans="3:16">
      <c r="C132" s="789" t="str">
        <f>IF(D94="","-",+C131+1)</f>
        <v>-</v>
      </c>
      <c r="D132" s="737">
        <f t="shared" si="4"/>
        <v>0</v>
      </c>
      <c r="E132" s="790">
        <f t="shared" si="6"/>
        <v>0</v>
      </c>
      <c r="F132" s="790">
        <f t="shared" si="0"/>
        <v>0</v>
      </c>
      <c r="G132" s="737">
        <f t="shared" si="5"/>
        <v>0</v>
      </c>
      <c r="H132" s="795">
        <f>+J95*G132+E132</f>
        <v>0</v>
      </c>
      <c r="I132" s="796">
        <f>+J96*G132+E132</f>
        <v>0</v>
      </c>
      <c r="J132" s="793">
        <f t="shared" si="7"/>
        <v>0</v>
      </c>
      <c r="K132" s="793"/>
      <c r="L132" s="813"/>
      <c r="M132" s="793">
        <f t="shared" si="1"/>
        <v>0</v>
      </c>
      <c r="N132" s="813"/>
      <c r="O132" s="793">
        <f t="shared" si="2"/>
        <v>0</v>
      </c>
      <c r="P132" s="793">
        <f t="shared" si="3"/>
        <v>0</v>
      </c>
    </row>
    <row r="133" spans="3:16">
      <c r="C133" s="789" t="str">
        <f>IF(D94="","-",+C132+1)</f>
        <v>-</v>
      </c>
      <c r="D133" s="737">
        <f t="shared" si="4"/>
        <v>0</v>
      </c>
      <c r="E133" s="790">
        <f t="shared" si="6"/>
        <v>0</v>
      </c>
      <c r="F133" s="790">
        <f t="shared" si="0"/>
        <v>0</v>
      </c>
      <c r="G133" s="737">
        <f t="shared" si="5"/>
        <v>0</v>
      </c>
      <c r="H133" s="795">
        <f>+J95*G133+E133</f>
        <v>0</v>
      </c>
      <c r="I133" s="796">
        <f>+J96*G133+E133</f>
        <v>0</v>
      </c>
      <c r="J133" s="793">
        <f t="shared" si="7"/>
        <v>0</v>
      </c>
      <c r="K133" s="793"/>
      <c r="L133" s="813"/>
      <c r="M133" s="793">
        <f t="shared" si="1"/>
        <v>0</v>
      </c>
      <c r="N133" s="813"/>
      <c r="O133" s="793">
        <f t="shared" si="2"/>
        <v>0</v>
      </c>
      <c r="P133" s="793">
        <f t="shared" si="3"/>
        <v>0</v>
      </c>
    </row>
    <row r="134" spans="3:16">
      <c r="C134" s="789" t="str">
        <f>IF(D94="","-",+C133+1)</f>
        <v>-</v>
      </c>
      <c r="D134" s="737">
        <f t="shared" si="4"/>
        <v>0</v>
      </c>
      <c r="E134" s="790">
        <f t="shared" si="6"/>
        <v>0</v>
      </c>
      <c r="F134" s="790">
        <f t="shared" si="0"/>
        <v>0</v>
      </c>
      <c r="G134" s="737">
        <f t="shared" si="5"/>
        <v>0</v>
      </c>
      <c r="H134" s="795">
        <f>+J95*G134+E134</f>
        <v>0</v>
      </c>
      <c r="I134" s="796">
        <f>+J96*G134+E134</f>
        <v>0</v>
      </c>
      <c r="J134" s="793">
        <f t="shared" si="7"/>
        <v>0</v>
      </c>
      <c r="K134" s="793"/>
      <c r="L134" s="813"/>
      <c r="M134" s="793">
        <f t="shared" si="1"/>
        <v>0</v>
      </c>
      <c r="N134" s="813"/>
      <c r="O134" s="793">
        <f t="shared" si="2"/>
        <v>0</v>
      </c>
      <c r="P134" s="793">
        <f t="shared" si="3"/>
        <v>0</v>
      </c>
    </row>
    <row r="135" spans="3:16">
      <c r="C135" s="789" t="str">
        <f>IF(D94="","-",+C134+1)</f>
        <v>-</v>
      </c>
      <c r="D135" s="737">
        <f t="shared" si="4"/>
        <v>0</v>
      </c>
      <c r="E135" s="790">
        <f t="shared" si="6"/>
        <v>0</v>
      </c>
      <c r="F135" s="790">
        <f t="shared" si="0"/>
        <v>0</v>
      </c>
      <c r="G135" s="737">
        <f t="shared" si="5"/>
        <v>0</v>
      </c>
      <c r="H135" s="795">
        <f>+J95*G135+E135</f>
        <v>0</v>
      </c>
      <c r="I135" s="796">
        <f>+J96*G135+E135</f>
        <v>0</v>
      </c>
      <c r="J135" s="793">
        <f t="shared" si="7"/>
        <v>0</v>
      </c>
      <c r="K135" s="793"/>
      <c r="L135" s="813"/>
      <c r="M135" s="793">
        <f t="shared" si="1"/>
        <v>0</v>
      </c>
      <c r="N135" s="813"/>
      <c r="O135" s="793">
        <f t="shared" si="2"/>
        <v>0</v>
      </c>
      <c r="P135" s="793">
        <f t="shared" si="3"/>
        <v>0</v>
      </c>
    </row>
    <row r="136" spans="3:16">
      <c r="C136" s="789" t="str">
        <f>IF(D94="","-",+C135+1)</f>
        <v>-</v>
      </c>
      <c r="D136" s="737">
        <f t="shared" si="4"/>
        <v>0</v>
      </c>
      <c r="E136" s="790">
        <f t="shared" si="6"/>
        <v>0</v>
      </c>
      <c r="F136" s="790">
        <f t="shared" si="0"/>
        <v>0</v>
      </c>
      <c r="G136" s="737">
        <f t="shared" si="5"/>
        <v>0</v>
      </c>
      <c r="H136" s="795">
        <f>+J95*G136+E136</f>
        <v>0</v>
      </c>
      <c r="I136" s="796">
        <f>+J96*G136+E136</f>
        <v>0</v>
      </c>
      <c r="J136" s="793">
        <f t="shared" si="7"/>
        <v>0</v>
      </c>
      <c r="K136" s="793"/>
      <c r="L136" s="813"/>
      <c r="M136" s="793">
        <f t="shared" si="1"/>
        <v>0</v>
      </c>
      <c r="N136" s="813"/>
      <c r="O136" s="793">
        <f t="shared" si="2"/>
        <v>0</v>
      </c>
      <c r="P136" s="793">
        <f t="shared" si="3"/>
        <v>0</v>
      </c>
    </row>
    <row r="137" spans="3:16">
      <c r="C137" s="789" t="str">
        <f>IF(D94="","-",+C136+1)</f>
        <v>-</v>
      </c>
      <c r="D137" s="737">
        <f t="shared" si="4"/>
        <v>0</v>
      </c>
      <c r="E137" s="790">
        <f t="shared" si="6"/>
        <v>0</v>
      </c>
      <c r="F137" s="790">
        <f t="shared" si="0"/>
        <v>0</v>
      </c>
      <c r="G137" s="737">
        <f t="shared" si="5"/>
        <v>0</v>
      </c>
      <c r="H137" s="795">
        <f>+J95*G137+E137</f>
        <v>0</v>
      </c>
      <c r="I137" s="796">
        <f>+J96*G137+E137</f>
        <v>0</v>
      </c>
      <c r="J137" s="793">
        <f t="shared" si="7"/>
        <v>0</v>
      </c>
      <c r="K137" s="793"/>
      <c r="L137" s="813"/>
      <c r="M137" s="793">
        <f t="shared" si="1"/>
        <v>0</v>
      </c>
      <c r="N137" s="813"/>
      <c r="O137" s="793">
        <f t="shared" si="2"/>
        <v>0</v>
      </c>
      <c r="P137" s="793">
        <f t="shared" si="3"/>
        <v>0</v>
      </c>
    </row>
    <row r="138" spans="3:16">
      <c r="C138" s="789" t="str">
        <f>IF(D94="","-",+C137+1)</f>
        <v>-</v>
      </c>
      <c r="D138" s="737">
        <f t="shared" si="4"/>
        <v>0</v>
      </c>
      <c r="E138" s="790">
        <f t="shared" si="6"/>
        <v>0</v>
      </c>
      <c r="F138" s="790">
        <f t="shared" si="0"/>
        <v>0</v>
      </c>
      <c r="G138" s="737">
        <f t="shared" si="5"/>
        <v>0</v>
      </c>
      <c r="H138" s="795">
        <f>+J95*G138+E138</f>
        <v>0</v>
      </c>
      <c r="I138" s="796">
        <f>+J96*G138+E138</f>
        <v>0</v>
      </c>
      <c r="J138" s="793">
        <f t="shared" si="7"/>
        <v>0</v>
      </c>
      <c r="K138" s="793"/>
      <c r="L138" s="813"/>
      <c r="M138" s="793">
        <f t="shared" si="1"/>
        <v>0</v>
      </c>
      <c r="N138" s="813"/>
      <c r="O138" s="793">
        <f t="shared" si="2"/>
        <v>0</v>
      </c>
      <c r="P138" s="793">
        <f t="shared" si="3"/>
        <v>0</v>
      </c>
    </row>
    <row r="139" spans="3:16">
      <c r="C139" s="789" t="str">
        <f>IF(D94="","-",+C138+1)</f>
        <v>-</v>
      </c>
      <c r="D139" s="737">
        <f t="shared" si="4"/>
        <v>0</v>
      </c>
      <c r="E139" s="790">
        <f t="shared" si="6"/>
        <v>0</v>
      </c>
      <c r="F139" s="790">
        <f t="shared" si="0"/>
        <v>0</v>
      </c>
      <c r="G139" s="737">
        <f t="shared" si="5"/>
        <v>0</v>
      </c>
      <c r="H139" s="795">
        <f>+J95*G139+E139</f>
        <v>0</v>
      </c>
      <c r="I139" s="796">
        <f>+J96*G139+E139</f>
        <v>0</v>
      </c>
      <c r="J139" s="793">
        <f t="shared" si="7"/>
        <v>0</v>
      </c>
      <c r="K139" s="793"/>
      <c r="L139" s="813"/>
      <c r="M139" s="793">
        <f t="shared" si="1"/>
        <v>0</v>
      </c>
      <c r="N139" s="813"/>
      <c r="O139" s="793">
        <f t="shared" si="2"/>
        <v>0</v>
      </c>
      <c r="P139" s="793">
        <f t="shared" si="3"/>
        <v>0</v>
      </c>
    </row>
    <row r="140" spans="3:16">
      <c r="C140" s="789" t="str">
        <f>IF(D94="","-",+C139+1)</f>
        <v>-</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t="str">
        <f>IF(D94="","-",+C140+1)</f>
        <v>-</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t="str">
        <f>IF(D94="","-",+C141+1)</f>
        <v>-</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t="str">
        <f>IF(D94="","-",+C142+1)</f>
        <v>-</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t="str">
        <f>IF(D94="","-",+C143+1)</f>
        <v>-</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t="str">
        <f>IF(D94="","-",+C144+1)</f>
        <v>-</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t="str">
        <f>IF(D94="","-",+C145+1)</f>
        <v>-</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t="str">
        <f>IF(D94="","-",+C146+1)</f>
        <v>-</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t="str">
        <f>IF(D94="","-",+C147+1)</f>
        <v>-</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t="str">
        <f>IF(D94="","-",+C148+1)</f>
        <v>-</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t="str">
        <f>IF(D94="","-",+C149+1)</f>
        <v>-</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t="str">
        <f>IF(D94="","-",+C150+1)</f>
        <v>-</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t="str">
        <f>IF(D94="","-",+C151+1)</f>
        <v>-</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t="str">
        <f>IF(D94="","-",+C152+1)</f>
        <v>-</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t="str">
        <f>IF(D94="","-",+C153+1)</f>
        <v>-</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t="str">
        <f>IF(D94="","-",+C154+1)</f>
        <v>-</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t="str">
        <f>IF(D94="","-",+C155+1)</f>
        <v>-</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t="str">
        <f>IF(D94="","-",+C156+1)</f>
        <v>-</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t="str">
        <f>IF(D94="","-",+C157+1)</f>
        <v>-</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t="str">
        <f>IF(D94="","-",+C158+1)</f>
        <v>-</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0</v>
      </c>
      <c r="F160" s="731"/>
      <c r="G160" s="731"/>
      <c r="H160" s="731">
        <f>SUM(H100:H159)</f>
        <v>0</v>
      </c>
      <c r="I160" s="731">
        <f>SUM(I100:I159)</f>
        <v>0</v>
      </c>
      <c r="J160" s="731">
        <f>SUM(J100:J159)</f>
        <v>0</v>
      </c>
      <c r="K160" s="731"/>
      <c r="L160" s="731"/>
      <c r="M160" s="731"/>
      <c r="N160" s="731"/>
      <c r="O160" s="731"/>
    </row>
    <row r="161" spans="3:15">
      <c r="D161" s="539"/>
      <c r="E161" s="314"/>
      <c r="F161" s="314"/>
      <c r="G161" s="314"/>
      <c r="H161" s="314"/>
      <c r="I161" s="709"/>
      <c r="J161" s="709"/>
      <c r="K161" s="731"/>
      <c r="L161" s="709"/>
      <c r="M161" s="709"/>
      <c r="N161" s="709"/>
      <c r="O161" s="709"/>
    </row>
    <row r="162" spans="3:15">
      <c r="C162" s="314" t="s">
        <v>13</v>
      </c>
      <c r="D162" s="539"/>
      <c r="E162" s="314"/>
      <c r="F162" s="314"/>
      <c r="G162" s="314"/>
      <c r="H162" s="314"/>
      <c r="I162" s="709"/>
      <c r="J162" s="709"/>
      <c r="K162" s="731"/>
      <c r="L162" s="709"/>
      <c r="M162" s="709"/>
      <c r="N162" s="709"/>
      <c r="O162" s="709"/>
    </row>
    <row r="163" spans="3:15">
      <c r="C163" s="314"/>
      <c r="D163" s="539"/>
      <c r="E163" s="314"/>
      <c r="F163" s="314"/>
      <c r="G163" s="314"/>
      <c r="H163" s="314"/>
      <c r="I163" s="709"/>
      <c r="J163" s="709"/>
      <c r="K163" s="731"/>
      <c r="L163" s="709"/>
      <c r="M163" s="709"/>
      <c r="N163" s="709"/>
      <c r="O163" s="709"/>
    </row>
    <row r="164" spans="3:15">
      <c r="C164" s="750" t="s">
        <v>14</v>
      </c>
      <c r="D164" s="737"/>
      <c r="E164" s="737"/>
      <c r="F164" s="737"/>
      <c r="G164" s="737"/>
      <c r="H164" s="731"/>
      <c r="I164" s="731"/>
      <c r="J164" s="805"/>
      <c r="K164" s="805"/>
      <c r="L164" s="805"/>
      <c r="M164" s="805"/>
      <c r="N164" s="805"/>
      <c r="O164" s="805"/>
    </row>
    <row r="165" spans="3:15">
      <c r="C165" s="736" t="s">
        <v>263</v>
      </c>
      <c r="D165" s="737"/>
      <c r="E165" s="737"/>
      <c r="F165" s="737"/>
      <c r="G165" s="737"/>
      <c r="H165" s="731"/>
      <c r="I165" s="731"/>
      <c r="J165" s="805"/>
      <c r="K165" s="805"/>
      <c r="L165" s="805"/>
      <c r="M165" s="805"/>
      <c r="N165" s="805"/>
      <c r="O165" s="805"/>
    </row>
    <row r="166" spans="3:15">
      <c r="C166" s="736" t="s">
        <v>84</v>
      </c>
      <c r="D166" s="737"/>
      <c r="E166" s="737"/>
      <c r="F166" s="737"/>
      <c r="G166" s="737"/>
      <c r="H166" s="731"/>
      <c r="I166" s="731"/>
      <c r="J166" s="805"/>
      <c r="K166" s="805"/>
      <c r="L166" s="805"/>
      <c r="M166" s="805"/>
      <c r="N166" s="805"/>
      <c r="O166" s="805"/>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5" t="s">
        <v>406</v>
      </c>
    </row>
    <row r="2" spans="1:5" ht="15.75">
      <c r="A2" s="1005" t="s">
        <v>406</v>
      </c>
    </row>
    <row r="3" spans="1:5" ht="15">
      <c r="B3" s="1492" t="str">
        <f>TCOS!$F$5</f>
        <v>AEPTCo subsidiaries in PJM</v>
      </c>
      <c r="C3" s="1492" t="str">
        <f>TCOS!$F$5</f>
        <v>AEPTCo subsidiaries in PJM</v>
      </c>
      <c r="D3" s="1492" t="str">
        <f>TCOS!$F$5</f>
        <v>AEPTCo subsidiaries in PJM</v>
      </c>
      <c r="E3" s="1492" t="str">
        <f>TCOS!$F$5</f>
        <v>AEPTCo subsidiaries in PJM</v>
      </c>
    </row>
    <row r="4" spans="1:5" ht="15">
      <c r="B4" s="1485" t="str">
        <f>"Cost of Service Formula Rate Using Actual/Projected FF1 Balances"</f>
        <v>Cost of Service Formula Rate Using Actual/Projected FF1 Balances</v>
      </c>
      <c r="C4" s="1485"/>
      <c r="D4" s="1485"/>
      <c r="E4" s="1485"/>
    </row>
    <row r="5" spans="1:5" ht="15">
      <c r="B5" s="1492" t="s">
        <v>589</v>
      </c>
      <c r="C5" s="1492"/>
      <c r="D5" s="1492"/>
      <c r="E5" s="1492"/>
    </row>
    <row r="6" spans="1:5" ht="15">
      <c r="B6" s="1495" t="str">
        <f>+TCOS!F9</f>
        <v>AEP Appalachian Transmission Company</v>
      </c>
      <c r="C6" s="1492"/>
      <c r="D6" s="1492"/>
      <c r="E6" s="1492"/>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35" zoomScale="90" zoomScaleNormal="90" zoomScaleSheetLayoutView="70" workbookViewId="0">
      <selection activeCell="G63" sqref="G63"/>
    </sheetView>
  </sheetViews>
  <sheetFormatPr defaultColWidth="11.42578125" defaultRowHeight="12.75"/>
  <cols>
    <col min="1" max="1" width="10.28515625" style="1188" customWidth="1"/>
    <col min="2" max="2" width="52.28515625" style="1161" customWidth="1"/>
    <col min="3" max="7" width="20.28515625" style="1161" customWidth="1"/>
    <col min="8" max="8" width="23" style="1161" customWidth="1"/>
    <col min="9" max="11" width="20.28515625" style="1161" customWidth="1"/>
    <col min="12" max="12" width="20" style="1161" customWidth="1"/>
    <col min="13" max="14" width="15.140625" style="1161" customWidth="1"/>
    <col min="15" max="16384" width="11.42578125" style="1161"/>
  </cols>
  <sheetData>
    <row r="1" spans="1:12" ht="15">
      <c r="A1" s="1556" t="str">
        <f>TCOS!F5</f>
        <v>AEPTCo subsidiaries in PJM</v>
      </c>
      <c r="B1" s="1556" t="s">
        <v>321</v>
      </c>
      <c r="C1" s="1556" t="s">
        <v>321</v>
      </c>
      <c r="D1" s="1556" t="s">
        <v>321</v>
      </c>
      <c r="E1" s="1556" t="s">
        <v>321</v>
      </c>
      <c r="F1" s="1556" t="s">
        <v>321</v>
      </c>
      <c r="G1" s="1556" t="s">
        <v>321</v>
      </c>
      <c r="H1" s="1160"/>
    </row>
    <row r="2" spans="1:12" ht="15">
      <c r="A2" s="1485" t="str">
        <f>"Cost of Service Formula Rate Using Actual/Projected FF1 Balances"</f>
        <v>Cost of Service Formula Rate Using Actual/Projected FF1 Balances</v>
      </c>
      <c r="B2" s="1485"/>
      <c r="C2" s="1485"/>
      <c r="D2" s="1485"/>
      <c r="E2" s="1485"/>
      <c r="F2" s="1485"/>
      <c r="G2" s="1485"/>
      <c r="H2" s="1162"/>
      <c r="I2" s="1162"/>
      <c r="J2" s="1162"/>
      <c r="L2" s="1163"/>
    </row>
    <row r="3" spans="1:12" ht="15">
      <c r="A3" s="1485" t="s">
        <v>732</v>
      </c>
      <c r="B3" s="1485"/>
      <c r="C3" s="1485"/>
      <c r="D3" s="1485"/>
      <c r="E3" s="1485"/>
      <c r="F3" s="1485"/>
      <c r="G3" s="1485"/>
      <c r="H3" s="1162"/>
      <c r="I3" s="1162"/>
      <c r="J3" s="1162"/>
    </row>
    <row r="4" spans="1:12" ht="15">
      <c r="A4" s="1491" t="str">
        <f>TCOS!F9</f>
        <v>AEP Appalachian Transmission Company</v>
      </c>
      <c r="B4" s="1491"/>
      <c r="C4" s="1491"/>
      <c r="D4" s="1491"/>
      <c r="E4" s="1491"/>
      <c r="F4" s="1491"/>
      <c r="G4" s="1491"/>
      <c r="H4" s="1162"/>
      <c r="I4" s="1162"/>
      <c r="J4" s="1162"/>
    </row>
    <row r="5" spans="1:12">
      <c r="A5" s="1162"/>
      <c r="B5" s="1164"/>
      <c r="C5" s="1164"/>
      <c r="D5" s="1164"/>
      <c r="E5" s="1165"/>
      <c r="F5" s="1166"/>
      <c r="H5" s="1016"/>
      <c r="I5" s="1016"/>
      <c r="J5" s="1016"/>
      <c r="K5" s="1016"/>
      <c r="L5" s="1016"/>
    </row>
    <row r="6" spans="1:12" ht="12.75" customHeight="1">
      <c r="A6" s="1160"/>
      <c r="B6" s="1079"/>
      <c r="C6" s="1486" t="s">
        <v>331</v>
      </c>
      <c r="D6" s="1487"/>
      <c r="E6" s="1487"/>
      <c r="F6" s="1487"/>
      <c r="G6" s="1488"/>
      <c r="H6" s="1167"/>
      <c r="I6" s="1016"/>
      <c r="J6" s="1016"/>
      <c r="K6" s="1016"/>
      <c r="L6" s="1016"/>
    </row>
    <row r="7" spans="1:12" s="1170" customFormat="1" ht="38.25">
      <c r="A7" s="1168" t="s">
        <v>701</v>
      </c>
      <c r="B7" s="1084" t="s">
        <v>702</v>
      </c>
      <c r="C7" s="1114" t="s">
        <v>733</v>
      </c>
      <c r="D7" s="1085" t="s">
        <v>163</v>
      </c>
      <c r="E7" s="1085" t="s">
        <v>734</v>
      </c>
      <c r="F7" s="1085" t="s">
        <v>735</v>
      </c>
      <c r="G7" s="1169" t="s">
        <v>331</v>
      </c>
      <c r="H7" s="1167"/>
      <c r="I7" s="1016"/>
      <c r="J7" s="1016"/>
      <c r="K7" s="1016"/>
      <c r="L7" s="1016"/>
    </row>
    <row r="8" spans="1:12" s="1173" customFormat="1">
      <c r="A8" s="1171"/>
      <c r="B8" s="1089" t="s">
        <v>706</v>
      </c>
      <c r="C8" s="1115" t="s">
        <v>724</v>
      </c>
      <c r="D8" s="1090" t="s">
        <v>725</v>
      </c>
      <c r="E8" s="1090" t="s">
        <v>707</v>
      </c>
      <c r="F8" s="1090" t="s">
        <v>708</v>
      </c>
      <c r="G8" s="1172" t="s">
        <v>736</v>
      </c>
      <c r="H8" s="1167"/>
      <c r="I8" s="1016"/>
      <c r="J8" s="1016"/>
      <c r="K8" s="1016"/>
      <c r="L8" s="1016"/>
    </row>
    <row r="9" spans="1:12" s="1173" customFormat="1" ht="44.25" customHeight="1">
      <c r="A9" s="1171"/>
      <c r="B9" s="1089" t="s">
        <v>712</v>
      </c>
      <c r="C9" s="1174" t="s">
        <v>737</v>
      </c>
      <c r="D9" s="1093" t="s">
        <v>738</v>
      </c>
      <c r="E9" s="1093" t="s">
        <v>739</v>
      </c>
      <c r="F9" s="1093" t="s">
        <v>740</v>
      </c>
      <c r="G9" s="1175"/>
      <c r="H9" s="1167"/>
      <c r="I9" s="1016"/>
      <c r="J9" s="1016"/>
      <c r="K9" s="1016"/>
      <c r="L9" s="1016"/>
    </row>
    <row r="10" spans="1:12">
      <c r="A10" s="1171">
        <v>1</v>
      </c>
      <c r="B10" s="1095" t="s">
        <v>713</v>
      </c>
      <c r="C10" s="1176">
        <v>59805225.897338904</v>
      </c>
      <c r="D10" s="1176">
        <v>0</v>
      </c>
      <c r="E10" s="1176">
        <v>0</v>
      </c>
      <c r="F10" s="1176">
        <v>0</v>
      </c>
      <c r="G10" s="1177">
        <f>+C10-D10-E10-F10</f>
        <v>59805225.897338904</v>
      </c>
      <c r="H10" s="1167"/>
      <c r="I10" s="1016"/>
      <c r="J10" s="1016"/>
      <c r="K10" s="1016"/>
      <c r="L10" s="1016"/>
    </row>
    <row r="11" spans="1:12">
      <c r="A11" s="1171">
        <f>+A10+1</f>
        <v>2</v>
      </c>
      <c r="B11" s="1095" t="s">
        <v>566</v>
      </c>
      <c r="C11" s="1176">
        <v>60391767.788117997</v>
      </c>
      <c r="D11" s="1301">
        <v>0</v>
      </c>
      <c r="E11" s="1301">
        <v>0</v>
      </c>
      <c r="F11" s="1301">
        <v>0</v>
      </c>
      <c r="G11" s="1177">
        <f t="shared" ref="G11:G22" si="0">+C11-D11-E11-F11</f>
        <v>60391767.788117997</v>
      </c>
      <c r="H11" s="1167"/>
      <c r="I11" s="1016"/>
      <c r="J11" s="1016"/>
      <c r="K11" s="1016"/>
      <c r="L11" s="1016"/>
    </row>
    <row r="12" spans="1:12">
      <c r="A12" s="1171">
        <f t="shared" ref="A12:A23" si="1">+A11+1</f>
        <v>3</v>
      </c>
      <c r="B12" s="1097" t="s">
        <v>567</v>
      </c>
      <c r="C12" s="1176">
        <v>60876343.179807805</v>
      </c>
      <c r="D12" s="1301">
        <v>0</v>
      </c>
      <c r="E12" s="1301">
        <v>0</v>
      </c>
      <c r="F12" s="1301">
        <v>0</v>
      </c>
      <c r="G12" s="1177">
        <f t="shared" si="0"/>
        <v>60876343.179807805</v>
      </c>
      <c r="H12" s="1167"/>
      <c r="I12" s="1016"/>
      <c r="J12" s="1016"/>
      <c r="K12" s="1016"/>
      <c r="L12" s="1016"/>
    </row>
    <row r="13" spans="1:12">
      <c r="A13" s="1171">
        <f t="shared" si="1"/>
        <v>4</v>
      </c>
      <c r="B13" s="1097" t="s">
        <v>714</v>
      </c>
      <c r="C13" s="1176">
        <v>61463691.896846697</v>
      </c>
      <c r="D13" s="1301">
        <v>0</v>
      </c>
      <c r="E13" s="1301">
        <v>0</v>
      </c>
      <c r="F13" s="1301">
        <v>0</v>
      </c>
      <c r="G13" s="1177">
        <f t="shared" si="0"/>
        <v>61463691.896846697</v>
      </c>
      <c r="H13" s="1167"/>
      <c r="I13" s="1016"/>
      <c r="J13" s="1016"/>
      <c r="K13" s="1016"/>
      <c r="L13" s="1016"/>
    </row>
    <row r="14" spans="1:12">
      <c r="A14" s="1171">
        <f t="shared" si="1"/>
        <v>5</v>
      </c>
      <c r="B14" s="1097" t="s">
        <v>569</v>
      </c>
      <c r="C14" s="1176">
        <v>62020352.859228797</v>
      </c>
      <c r="D14" s="1301">
        <v>0</v>
      </c>
      <c r="E14" s="1301">
        <v>0</v>
      </c>
      <c r="F14" s="1301">
        <v>0</v>
      </c>
      <c r="G14" s="1177">
        <f t="shared" si="0"/>
        <v>62020352.859228797</v>
      </c>
      <c r="H14" s="1167"/>
      <c r="I14" s="1016"/>
      <c r="J14" s="1016"/>
      <c r="K14" s="1016"/>
      <c r="L14" s="1016"/>
    </row>
    <row r="15" spans="1:12">
      <c r="A15" s="1171">
        <f t="shared" si="1"/>
        <v>6</v>
      </c>
      <c r="B15" s="1097" t="s">
        <v>570</v>
      </c>
      <c r="C15" s="1176">
        <v>61609376.5348984</v>
      </c>
      <c r="D15" s="1301">
        <v>0</v>
      </c>
      <c r="E15" s="1301">
        <v>0</v>
      </c>
      <c r="F15" s="1301">
        <v>0</v>
      </c>
      <c r="G15" s="1177">
        <f t="shared" si="0"/>
        <v>61609376.5348984</v>
      </c>
      <c r="H15" s="1167"/>
      <c r="I15" s="1016"/>
      <c r="J15" s="1016"/>
      <c r="K15" s="1016"/>
      <c r="L15" s="1016"/>
    </row>
    <row r="16" spans="1:12">
      <c r="A16" s="1171">
        <f t="shared" si="1"/>
        <v>7</v>
      </c>
      <c r="B16" s="1097" t="s">
        <v>571</v>
      </c>
      <c r="C16" s="1176">
        <v>62150047.5200665</v>
      </c>
      <c r="D16" s="1301">
        <v>0</v>
      </c>
      <c r="E16" s="1301">
        <v>0</v>
      </c>
      <c r="F16" s="1301">
        <v>0</v>
      </c>
      <c r="G16" s="1177">
        <f t="shared" si="0"/>
        <v>62150047.5200665</v>
      </c>
      <c r="H16" s="1167"/>
      <c r="I16" s="1016"/>
      <c r="J16" s="1016"/>
      <c r="K16" s="1016"/>
      <c r="L16" s="1016"/>
    </row>
    <row r="17" spans="1:12">
      <c r="A17" s="1171">
        <f t="shared" si="1"/>
        <v>8</v>
      </c>
      <c r="B17" s="1097" t="s">
        <v>572</v>
      </c>
      <c r="C17" s="1176">
        <v>62734721.679203399</v>
      </c>
      <c r="D17" s="1301">
        <v>0</v>
      </c>
      <c r="E17" s="1301">
        <v>0</v>
      </c>
      <c r="F17" s="1301">
        <v>0</v>
      </c>
      <c r="G17" s="1177">
        <f t="shared" si="0"/>
        <v>62734721.679203399</v>
      </c>
      <c r="H17" s="1167"/>
      <c r="I17" s="1016"/>
      <c r="J17" s="1016"/>
      <c r="K17" s="1016"/>
      <c r="L17" s="1016"/>
    </row>
    <row r="18" spans="1:12">
      <c r="A18" s="1171">
        <f t="shared" si="1"/>
        <v>9</v>
      </c>
      <c r="B18" s="1097" t="s">
        <v>715</v>
      </c>
      <c r="C18" s="1176">
        <v>62323369.609916598</v>
      </c>
      <c r="D18" s="1301">
        <v>0</v>
      </c>
      <c r="E18" s="1301">
        <v>0</v>
      </c>
      <c r="F18" s="1301">
        <v>0</v>
      </c>
      <c r="G18" s="1177">
        <f t="shared" si="0"/>
        <v>62323369.609916598</v>
      </c>
      <c r="H18" s="1167"/>
      <c r="I18" s="1016"/>
      <c r="J18" s="1016"/>
      <c r="K18" s="1016"/>
      <c r="L18" s="1016"/>
    </row>
    <row r="19" spans="1:12">
      <c r="A19" s="1171">
        <f t="shared" si="1"/>
        <v>10</v>
      </c>
      <c r="B19" s="1097" t="s">
        <v>574</v>
      </c>
      <c r="C19" s="1176">
        <v>62869169.237314805</v>
      </c>
      <c r="D19" s="1301">
        <v>0</v>
      </c>
      <c r="E19" s="1301">
        <v>0</v>
      </c>
      <c r="F19" s="1301">
        <v>0</v>
      </c>
      <c r="G19" s="1177">
        <f t="shared" si="0"/>
        <v>62869169.237314805</v>
      </c>
      <c r="H19" s="1167"/>
      <c r="I19" s="1016"/>
      <c r="J19" s="1016"/>
      <c r="K19" s="1016"/>
      <c r="L19" s="1016"/>
    </row>
    <row r="20" spans="1:12">
      <c r="A20" s="1171">
        <f t="shared" si="1"/>
        <v>11</v>
      </c>
      <c r="B20" s="1097" t="s">
        <v>575</v>
      </c>
      <c r="C20" s="1176">
        <v>63451020.121951401</v>
      </c>
      <c r="D20" s="1301">
        <v>0</v>
      </c>
      <c r="E20" s="1301">
        <v>0</v>
      </c>
      <c r="F20" s="1301">
        <v>0</v>
      </c>
      <c r="G20" s="1177">
        <f t="shared" si="0"/>
        <v>63451020.121951401</v>
      </c>
      <c r="H20" s="1167"/>
      <c r="I20" s="1016"/>
      <c r="J20" s="1016"/>
      <c r="K20" s="1016"/>
      <c r="L20" s="1016"/>
    </row>
    <row r="21" spans="1:12">
      <c r="A21" s="1171">
        <f t="shared" si="1"/>
        <v>12</v>
      </c>
      <c r="B21" s="1097" t="s">
        <v>576</v>
      </c>
      <c r="C21" s="1176">
        <v>62995124.384458601</v>
      </c>
      <c r="D21" s="1301">
        <v>0</v>
      </c>
      <c r="E21" s="1301">
        <v>0</v>
      </c>
      <c r="F21" s="1301">
        <v>0</v>
      </c>
      <c r="G21" s="1177">
        <f t="shared" si="0"/>
        <v>62995124.384458601</v>
      </c>
      <c r="H21" s="1167"/>
      <c r="I21" s="1016"/>
      <c r="J21" s="1016"/>
      <c r="K21" s="1016"/>
      <c r="L21" s="1016"/>
    </row>
    <row r="22" spans="1:12">
      <c r="A22" s="1178">
        <f t="shared" si="1"/>
        <v>13</v>
      </c>
      <c r="B22" s="1099" t="s">
        <v>716</v>
      </c>
      <c r="C22" s="1176">
        <v>63567742.436512806</v>
      </c>
      <c r="D22" s="1176">
        <v>0</v>
      </c>
      <c r="E22" s="1176">
        <v>0</v>
      </c>
      <c r="F22" s="1176">
        <v>0</v>
      </c>
      <c r="G22" s="1177">
        <f t="shared" si="0"/>
        <v>63567742.436512806</v>
      </c>
      <c r="H22" s="1167"/>
      <c r="I22" s="1016"/>
      <c r="J22" s="1016"/>
      <c r="K22" s="1016"/>
      <c r="L22" s="1016"/>
    </row>
    <row r="23" spans="1:12" ht="13.5" thickBot="1">
      <c r="A23" s="1178">
        <f t="shared" si="1"/>
        <v>14</v>
      </c>
      <c r="B23" s="1100" t="s">
        <v>717</v>
      </c>
      <c r="C23" s="1124">
        <f>(SUM(C10:C22)/13)</f>
        <v>62019842.54966636</v>
      </c>
      <c r="D23" s="1124">
        <f t="shared" ref="D23:F23" si="2">(SUM(D10:D22)/13)</f>
        <v>0</v>
      </c>
      <c r="E23" s="1124">
        <f t="shared" si="2"/>
        <v>0</v>
      </c>
      <c r="F23" s="1124">
        <f t="shared" si="2"/>
        <v>0</v>
      </c>
      <c r="G23" s="1124">
        <f>ROUND(SUM(G10:G22)/13,-3)</f>
        <v>62020000</v>
      </c>
      <c r="H23" s="1319"/>
      <c r="I23" s="1016"/>
      <c r="J23" s="1016"/>
      <c r="K23" s="1016"/>
      <c r="L23" s="1016"/>
    </row>
    <row r="24" spans="1:12" ht="13.5" thickTop="1">
      <c r="A24" s="1160"/>
      <c r="B24" s="1103"/>
      <c r="C24" s="1104"/>
      <c r="D24" s="1105"/>
      <c r="E24" s="1105"/>
      <c r="F24" s="1105"/>
      <c r="G24" s="1104"/>
      <c r="H24" s="1104"/>
      <c r="I24" s="1016"/>
      <c r="J24" s="1016"/>
      <c r="K24" s="1016"/>
      <c r="L24" s="1016"/>
    </row>
    <row r="25" spans="1:12" ht="12.75" customHeight="1">
      <c r="A25" s="1160"/>
      <c r="B25" s="1079"/>
      <c r="C25" s="1557" t="s">
        <v>532</v>
      </c>
      <c r="D25" s="1558"/>
      <c r="E25" s="1558"/>
      <c r="F25" s="1558"/>
      <c r="G25" s="1558"/>
      <c r="H25" s="1559"/>
      <c r="I25" s="1016"/>
      <c r="J25" s="1016"/>
      <c r="K25" s="1016"/>
      <c r="L25" s="1016"/>
    </row>
    <row r="26" spans="1:12" s="1170" customFormat="1" ht="38.25">
      <c r="A26" s="1168" t="s">
        <v>701</v>
      </c>
      <c r="B26" s="1084" t="s">
        <v>702</v>
      </c>
      <c r="C26" s="1114" t="s">
        <v>741</v>
      </c>
      <c r="D26" s="1085" t="s">
        <v>742</v>
      </c>
      <c r="E26" s="1085" t="s">
        <v>756</v>
      </c>
      <c r="F26" s="1085" t="s">
        <v>757</v>
      </c>
      <c r="G26" s="1085" t="s">
        <v>743</v>
      </c>
      <c r="H26" s="1169" t="s">
        <v>755</v>
      </c>
      <c r="I26" s="1016"/>
      <c r="J26" s="1016"/>
      <c r="K26" s="1016"/>
      <c r="L26" s="1016"/>
    </row>
    <row r="27" spans="1:12" s="1173" customFormat="1">
      <c r="A27" s="1171"/>
      <c r="B27" s="1089" t="s">
        <v>706</v>
      </c>
      <c r="C27" s="1115" t="s">
        <v>724</v>
      </c>
      <c r="D27" s="1090" t="s">
        <v>725</v>
      </c>
      <c r="E27" s="1090" t="s">
        <v>707</v>
      </c>
      <c r="F27" s="1090" t="s">
        <v>708</v>
      </c>
      <c r="G27" s="1090" t="s">
        <v>744</v>
      </c>
      <c r="H27" s="1172" t="s">
        <v>745</v>
      </c>
      <c r="I27" s="1016"/>
      <c r="J27" s="1016"/>
      <c r="K27" s="1016"/>
      <c r="L27" s="1016"/>
    </row>
    <row r="28" spans="1:12" s="1173" customFormat="1" ht="44.25" customHeight="1">
      <c r="A28" s="1171"/>
      <c r="B28" s="1089" t="s">
        <v>712</v>
      </c>
      <c r="C28" s="1174" t="s">
        <v>746</v>
      </c>
      <c r="D28" s="1093" t="s">
        <v>747</v>
      </c>
      <c r="E28" s="1093" t="s">
        <v>748</v>
      </c>
      <c r="F28" s="1093" t="s">
        <v>749</v>
      </c>
      <c r="G28" s="1093" t="s">
        <v>750</v>
      </c>
      <c r="H28" s="1180"/>
      <c r="I28" s="1016"/>
      <c r="J28" s="1016"/>
      <c r="K28" s="1016"/>
      <c r="L28" s="1016"/>
    </row>
    <row r="29" spans="1:12">
      <c r="A29" s="1171">
        <f>+A23+1</f>
        <v>15</v>
      </c>
      <c r="B29" s="1095" t="s">
        <v>713</v>
      </c>
      <c r="C29" s="1301">
        <v>0</v>
      </c>
      <c r="D29" s="1176">
        <v>0</v>
      </c>
      <c r="E29" s="1176">
        <v>60600000</v>
      </c>
      <c r="F29" s="1176">
        <v>0</v>
      </c>
      <c r="G29" s="1176">
        <v>0</v>
      </c>
      <c r="H29" s="1177">
        <f>+C29-D29+E29+F29-G29</f>
        <v>60600000</v>
      </c>
      <c r="I29" s="1016"/>
      <c r="J29" s="1016"/>
      <c r="K29" s="1016"/>
      <c r="L29" s="1016"/>
    </row>
    <row r="30" spans="1:12">
      <c r="A30" s="1171">
        <f>+A29+1</f>
        <v>16</v>
      </c>
      <c r="B30" s="1095" t="s">
        <v>566</v>
      </c>
      <c r="C30" s="1301">
        <v>0</v>
      </c>
      <c r="D30" s="1301">
        <v>0</v>
      </c>
      <c r="E30" s="1176">
        <v>60600000</v>
      </c>
      <c r="F30" s="1176">
        <v>0</v>
      </c>
      <c r="G30" s="1301">
        <v>0</v>
      </c>
      <c r="H30" s="1177">
        <f t="shared" ref="H30:H41" si="3">+C30-D30+E30+F30-G30</f>
        <v>60600000</v>
      </c>
      <c r="I30" s="1016"/>
      <c r="J30" s="1016"/>
      <c r="K30" s="1016"/>
      <c r="L30" s="1016"/>
    </row>
    <row r="31" spans="1:12">
      <c r="A31" s="1171">
        <f t="shared" ref="A31:A42" si="4">+A30+1</f>
        <v>17</v>
      </c>
      <c r="B31" s="1097" t="s">
        <v>567</v>
      </c>
      <c r="C31" s="1301">
        <v>0</v>
      </c>
      <c r="D31" s="1301">
        <v>0</v>
      </c>
      <c r="E31" s="1176">
        <v>60600000</v>
      </c>
      <c r="F31" s="1176">
        <v>0</v>
      </c>
      <c r="G31" s="1301">
        <v>0</v>
      </c>
      <c r="H31" s="1177">
        <f t="shared" si="3"/>
        <v>60600000</v>
      </c>
      <c r="I31" s="1016"/>
      <c r="J31" s="1016"/>
      <c r="K31" s="1016"/>
      <c r="L31" s="1016"/>
    </row>
    <row r="32" spans="1:12">
      <c r="A32" s="1171">
        <f t="shared" si="4"/>
        <v>18</v>
      </c>
      <c r="B32" s="1097" t="s">
        <v>714</v>
      </c>
      <c r="C32" s="1301">
        <v>0</v>
      </c>
      <c r="D32" s="1301">
        <v>0</v>
      </c>
      <c r="E32" s="1176">
        <v>60600000</v>
      </c>
      <c r="F32" s="1176">
        <v>0</v>
      </c>
      <c r="G32" s="1301">
        <v>0</v>
      </c>
      <c r="H32" s="1177">
        <f t="shared" si="3"/>
        <v>60600000</v>
      </c>
      <c r="I32" s="1016"/>
      <c r="J32" s="1016"/>
      <c r="K32" s="1016"/>
      <c r="L32" s="1016"/>
    </row>
    <row r="33" spans="1:12">
      <c r="A33" s="1171">
        <f t="shared" si="4"/>
        <v>19</v>
      </c>
      <c r="B33" s="1097" t="s">
        <v>569</v>
      </c>
      <c r="C33" s="1301">
        <v>0</v>
      </c>
      <c r="D33" s="1301">
        <v>0</v>
      </c>
      <c r="E33" s="1176">
        <v>60600000</v>
      </c>
      <c r="F33" s="1176">
        <v>0</v>
      </c>
      <c r="G33" s="1301">
        <v>0</v>
      </c>
      <c r="H33" s="1177">
        <f t="shared" si="3"/>
        <v>60600000</v>
      </c>
      <c r="I33" s="1016"/>
      <c r="J33" s="1016"/>
      <c r="K33" s="1016"/>
      <c r="L33" s="1016"/>
    </row>
    <row r="34" spans="1:12">
      <c r="A34" s="1171">
        <f t="shared" si="4"/>
        <v>20</v>
      </c>
      <c r="B34" s="1097" t="s">
        <v>570</v>
      </c>
      <c r="C34" s="1301">
        <v>0</v>
      </c>
      <c r="D34" s="1301">
        <v>0</v>
      </c>
      <c r="E34" s="1176">
        <v>60600000</v>
      </c>
      <c r="F34" s="1176">
        <v>0</v>
      </c>
      <c r="G34" s="1301">
        <v>0</v>
      </c>
      <c r="H34" s="1177">
        <f>+C34-D34+E34+F34-G34</f>
        <v>60600000</v>
      </c>
      <c r="I34" s="1016"/>
      <c r="J34" s="1016"/>
      <c r="K34" s="1016"/>
      <c r="L34" s="1016"/>
    </row>
    <row r="35" spans="1:12">
      <c r="A35" s="1171">
        <f t="shared" si="4"/>
        <v>21</v>
      </c>
      <c r="B35" s="1097" t="s">
        <v>571</v>
      </c>
      <c r="C35" s="1301">
        <v>0</v>
      </c>
      <c r="D35" s="1301">
        <v>0</v>
      </c>
      <c r="E35" s="1176">
        <v>60600000</v>
      </c>
      <c r="F35" s="1176">
        <v>0</v>
      </c>
      <c r="G35" s="1301">
        <v>0</v>
      </c>
      <c r="H35" s="1177">
        <f t="shared" si="3"/>
        <v>60600000</v>
      </c>
      <c r="I35" s="1016"/>
      <c r="J35" s="1016"/>
      <c r="K35" s="1016"/>
      <c r="L35" s="1016"/>
    </row>
    <row r="36" spans="1:12">
      <c r="A36" s="1171">
        <f t="shared" si="4"/>
        <v>22</v>
      </c>
      <c r="B36" s="1097" t="s">
        <v>572</v>
      </c>
      <c r="C36" s="1301">
        <v>0</v>
      </c>
      <c r="D36" s="1301">
        <v>0</v>
      </c>
      <c r="E36" s="1176">
        <v>60600000</v>
      </c>
      <c r="F36" s="1176">
        <v>0</v>
      </c>
      <c r="G36" s="1301">
        <v>0</v>
      </c>
      <c r="H36" s="1177">
        <f t="shared" si="3"/>
        <v>60600000</v>
      </c>
      <c r="I36" s="1016"/>
      <c r="J36" s="1016"/>
      <c r="K36" s="1016"/>
      <c r="L36" s="1016"/>
    </row>
    <row r="37" spans="1:12">
      <c r="A37" s="1171">
        <f t="shared" si="4"/>
        <v>23</v>
      </c>
      <c r="B37" s="1097" t="s">
        <v>715</v>
      </c>
      <c r="C37" s="1301">
        <v>0</v>
      </c>
      <c r="D37" s="1301">
        <v>0</v>
      </c>
      <c r="E37" s="1176">
        <v>60600000</v>
      </c>
      <c r="F37" s="1176">
        <v>0</v>
      </c>
      <c r="G37" s="1301">
        <v>0</v>
      </c>
      <c r="H37" s="1177">
        <f t="shared" si="3"/>
        <v>60600000</v>
      </c>
      <c r="I37" s="1016"/>
      <c r="J37" s="1016"/>
      <c r="K37" s="1016"/>
      <c r="L37" s="1016"/>
    </row>
    <row r="38" spans="1:12">
      <c r="A38" s="1171">
        <f t="shared" si="4"/>
        <v>24</v>
      </c>
      <c r="B38" s="1097" t="s">
        <v>574</v>
      </c>
      <c r="C38" s="1301">
        <v>0</v>
      </c>
      <c r="D38" s="1301">
        <v>0</v>
      </c>
      <c r="E38" s="1176">
        <v>60600000</v>
      </c>
      <c r="F38" s="1176">
        <v>0</v>
      </c>
      <c r="G38" s="1301">
        <v>0</v>
      </c>
      <c r="H38" s="1177">
        <f t="shared" si="3"/>
        <v>60600000</v>
      </c>
      <c r="I38" s="1016"/>
      <c r="J38" s="1016"/>
      <c r="K38" s="1016"/>
      <c r="L38" s="1016"/>
    </row>
    <row r="39" spans="1:12">
      <c r="A39" s="1171">
        <f t="shared" si="4"/>
        <v>25</v>
      </c>
      <c r="B39" s="1097" t="s">
        <v>575</v>
      </c>
      <c r="C39" s="1301">
        <v>0</v>
      </c>
      <c r="D39" s="1301">
        <v>0</v>
      </c>
      <c r="E39" s="1176">
        <v>60600000</v>
      </c>
      <c r="F39" s="1176">
        <v>0</v>
      </c>
      <c r="G39" s="1301">
        <v>0</v>
      </c>
      <c r="H39" s="1177">
        <f t="shared" si="3"/>
        <v>60600000</v>
      </c>
      <c r="I39" s="1016"/>
      <c r="J39" s="1016"/>
      <c r="K39" s="1016"/>
      <c r="L39" s="1016"/>
    </row>
    <row r="40" spans="1:12">
      <c r="A40" s="1171">
        <f t="shared" si="4"/>
        <v>26</v>
      </c>
      <c r="B40" s="1097" t="s">
        <v>576</v>
      </c>
      <c r="C40" s="1301">
        <v>0</v>
      </c>
      <c r="D40" s="1301">
        <v>0</v>
      </c>
      <c r="E40" s="1176">
        <v>60600000</v>
      </c>
      <c r="F40" s="1176">
        <v>0</v>
      </c>
      <c r="G40" s="1301">
        <v>0</v>
      </c>
      <c r="H40" s="1177">
        <f t="shared" si="3"/>
        <v>60600000</v>
      </c>
      <c r="I40" s="1016"/>
      <c r="J40" s="1016"/>
      <c r="K40" s="1016"/>
      <c r="L40" s="1016"/>
    </row>
    <row r="41" spans="1:12">
      <c r="A41" s="1178">
        <f t="shared" si="4"/>
        <v>27</v>
      </c>
      <c r="B41" s="1099" t="s">
        <v>716</v>
      </c>
      <c r="C41" s="1176">
        <v>0</v>
      </c>
      <c r="D41" s="1176">
        <v>0</v>
      </c>
      <c r="E41" s="1176">
        <v>60600000</v>
      </c>
      <c r="F41" s="1176">
        <v>0</v>
      </c>
      <c r="G41" s="1176">
        <v>0</v>
      </c>
      <c r="H41" s="1177">
        <f t="shared" si="3"/>
        <v>60600000</v>
      </c>
      <c r="I41" s="1016"/>
      <c r="J41" s="1016"/>
      <c r="K41" s="1016"/>
      <c r="L41" s="1016"/>
    </row>
    <row r="42" spans="1:12" ht="13.5" thickBot="1">
      <c r="A42" s="1182">
        <f t="shared" si="4"/>
        <v>28</v>
      </c>
      <c r="B42" s="1108" t="s">
        <v>717</v>
      </c>
      <c r="C42" s="1124">
        <f t="shared" ref="C42:G42" si="5">(SUM(C29:C41)/13)</f>
        <v>0</v>
      </c>
      <c r="D42" s="1124">
        <f t="shared" si="5"/>
        <v>0</v>
      </c>
      <c r="E42" s="1124">
        <f t="shared" si="5"/>
        <v>60600000</v>
      </c>
      <c r="F42" s="1124">
        <f t="shared" si="5"/>
        <v>0</v>
      </c>
      <c r="G42" s="1124">
        <f t="shared" si="5"/>
        <v>0</v>
      </c>
      <c r="H42" s="1179">
        <f t="shared" ref="H42" si="6">ROUND(SUM(H29:H41)/13,-3)</f>
        <v>60600000</v>
      </c>
      <c r="I42" s="1016"/>
      <c r="J42" s="1016"/>
      <c r="K42" s="1016"/>
      <c r="L42" s="1016"/>
    </row>
    <row r="43" spans="1:12" ht="13.5" thickTop="1">
      <c r="A43" s="1162"/>
      <c r="B43" s="1183"/>
      <c r="C43" s="1184"/>
      <c r="D43" s="1185"/>
      <c r="E43" s="1185"/>
      <c r="F43" s="1185"/>
      <c r="G43" s="1184"/>
      <c r="H43" s="1184"/>
      <c r="I43" s="1016"/>
      <c r="J43" s="1016"/>
      <c r="K43" s="1016"/>
      <c r="L43" s="1016"/>
    </row>
    <row r="44" spans="1:12" ht="12.75" customHeight="1">
      <c r="A44" s="1186" t="s">
        <v>751</v>
      </c>
      <c r="F44" s="1187"/>
      <c r="G44" s="1187"/>
      <c r="H44" s="1187"/>
      <c r="I44" s="1016"/>
      <c r="J44" s="1016"/>
      <c r="K44" s="1016"/>
    </row>
    <row r="45" spans="1:12">
      <c r="E45" s="1187"/>
      <c r="F45" s="1187"/>
      <c r="G45" s="1187"/>
      <c r="H45" s="1187"/>
      <c r="J45" s="1183"/>
    </row>
    <row r="46" spans="1:12" ht="15">
      <c r="A46" s="1189" t="s">
        <v>332</v>
      </c>
      <c r="E46" s="1187"/>
      <c r="F46" s="1187"/>
      <c r="G46" s="1187"/>
      <c r="H46" s="1160"/>
    </row>
    <row r="47" spans="1:12" ht="15">
      <c r="A47" s="1189"/>
      <c r="B47" s="1190" t="s">
        <v>706</v>
      </c>
      <c r="C47" s="1190" t="s">
        <v>724</v>
      </c>
      <c r="D47" s="1191" t="s">
        <v>725</v>
      </c>
      <c r="E47" s="1190" t="s">
        <v>707</v>
      </c>
      <c r="F47" s="1191" t="s">
        <v>708</v>
      </c>
      <c r="G47" s="1190" t="s">
        <v>744</v>
      </c>
      <c r="H47" s="1190" t="s">
        <v>752</v>
      </c>
    </row>
    <row r="48" spans="1:12">
      <c r="A48" s="720">
        <f>+A42+1</f>
        <v>29</v>
      </c>
      <c r="B48" s="1192" t="str">
        <f>"Annual Interest Expense for "&amp;TCOS!L4</f>
        <v>Annual Interest Expense for 2025</v>
      </c>
      <c r="C48" s="1193"/>
      <c r="D48" s="1194"/>
      <c r="E48" s="1195"/>
      <c r="F48" s="1195"/>
      <c r="G48" s="1195"/>
      <c r="H48" s="1195"/>
      <c r="I48" s="1195"/>
      <c r="J48" s="1195"/>
      <c r="K48" s="1195"/>
      <c r="L48" s="1195"/>
    </row>
    <row r="49" spans="1:12">
      <c r="A49" s="720">
        <f>+A48+1</f>
        <v>30</v>
      </c>
      <c r="B49" s="1268" t="s">
        <v>771</v>
      </c>
      <c r="C49" s="1193"/>
      <c r="D49" s="1194"/>
      <c r="E49" s="1197">
        <v>2258900</v>
      </c>
      <c r="F49" s="1195"/>
      <c r="G49" s="1195"/>
      <c r="H49" s="1195"/>
      <c r="I49" s="1195"/>
      <c r="J49" s="1195"/>
      <c r="K49" s="1195"/>
      <c r="L49" s="1195"/>
    </row>
    <row r="50" spans="1:12" ht="28.5" customHeight="1">
      <c r="A50" s="720">
        <f t="shared" ref="A50:A55" si="7">+A49+1</f>
        <v>31</v>
      </c>
      <c r="B50" s="1551" t="str">
        <f>"Less: Total Hedge Gain/Expense Accumulated from p 256-257, col. (i) of FERC Form 1  included in Ln "&amp;A49&amp;" and shown in "&amp;A68&amp;" below."</f>
        <v>Less: Total Hedge Gain/Expense Accumulated from p 256-257, col. (i) of FERC Form 1  included in Ln 30 and shown in 43 below.</v>
      </c>
      <c r="C50" s="1552"/>
      <c r="D50" s="1194"/>
      <c r="E50" s="1193">
        <f>+C68</f>
        <v>0</v>
      </c>
      <c r="F50" s="1195"/>
      <c r="G50" s="1195"/>
      <c r="H50" s="1195"/>
      <c r="I50" s="1195"/>
      <c r="J50" s="1195"/>
      <c r="K50" s="1195"/>
      <c r="L50" s="1195"/>
    </row>
    <row r="51" spans="1:12">
      <c r="A51" s="720">
        <f t="shared" si="7"/>
        <v>32</v>
      </c>
      <c r="B51" s="1268" t="s">
        <v>772</v>
      </c>
      <c r="C51" s="1269"/>
      <c r="D51" s="1198"/>
      <c r="E51" s="1197">
        <v>0</v>
      </c>
      <c r="F51" s="1195"/>
      <c r="G51" s="1195"/>
      <c r="H51" s="1195"/>
      <c r="I51" s="1195"/>
      <c r="J51" s="1195"/>
    </row>
    <row r="52" spans="1:12">
      <c r="A52" s="720">
        <f t="shared" si="7"/>
        <v>33</v>
      </c>
      <c r="B52" s="1268" t="s">
        <v>773</v>
      </c>
      <c r="C52" s="1199"/>
      <c r="D52" s="1194"/>
      <c r="E52" s="1197">
        <v>0</v>
      </c>
      <c r="F52" s="1195"/>
      <c r="G52" s="1195"/>
      <c r="H52" s="1195"/>
      <c r="I52" s="1195"/>
      <c r="J52" s="1195"/>
    </row>
    <row r="53" spans="1:12">
      <c r="A53" s="720">
        <f t="shared" si="7"/>
        <v>34</v>
      </c>
      <c r="B53" s="1268" t="s">
        <v>774</v>
      </c>
      <c r="C53" s="1199"/>
      <c r="D53" s="1194"/>
      <c r="E53" s="1197">
        <v>0</v>
      </c>
      <c r="F53" s="1195"/>
      <c r="G53" s="1195"/>
      <c r="H53" s="1195"/>
      <c r="I53" s="1195"/>
      <c r="J53" s="1195"/>
    </row>
    <row r="54" spans="1:12" ht="13.5" thickBot="1">
      <c r="A54" s="720">
        <f t="shared" si="7"/>
        <v>35</v>
      </c>
      <c r="B54" s="1268" t="s">
        <v>775</v>
      </c>
      <c r="C54" s="1199"/>
      <c r="D54" s="1194"/>
      <c r="E54" s="1200">
        <v>0</v>
      </c>
      <c r="F54" s="1195"/>
      <c r="G54" s="1195"/>
      <c r="H54" s="1195"/>
      <c r="I54" s="1195"/>
      <c r="J54" s="1195"/>
    </row>
    <row r="55" spans="1:12">
      <c r="A55" s="720">
        <f t="shared" si="7"/>
        <v>36</v>
      </c>
      <c r="B55" s="1192" t="str">
        <f>"Total Interest Expense (Ln "&amp;A49&amp;" - "&amp;A50&amp;" + "&amp;A51&amp;" + "&amp;A52&amp;" - "&amp;A53&amp;" - "&amp;A54&amp;")"</f>
        <v>Total Interest Expense (Ln 30 - 31 + 32 + 33 - 34 - 35)</v>
      </c>
      <c r="C55" s="1201"/>
      <c r="D55" s="1202"/>
      <c r="E55" s="1203">
        <f>+E49-E50+E51+E52-E53-E54</f>
        <v>2258900</v>
      </c>
      <c r="F55" s="1195"/>
      <c r="G55" s="1195"/>
      <c r="H55" s="1195"/>
      <c r="I55" s="1195"/>
      <c r="J55" s="1195"/>
    </row>
    <row r="56" spans="1:12" ht="13.5" thickBot="1">
      <c r="A56" s="720"/>
      <c r="B56" s="1196"/>
      <c r="C56" s="1199"/>
      <c r="D56" s="1194"/>
      <c r="E56" s="1204"/>
      <c r="F56" s="1195"/>
      <c r="G56" s="1195"/>
      <c r="H56" s="1195"/>
      <c r="I56" s="1195"/>
      <c r="J56" s="1195"/>
    </row>
    <row r="57" spans="1:12" ht="13.5" thickBot="1">
      <c r="A57" s="720">
        <f>+A55+1</f>
        <v>37</v>
      </c>
      <c r="B57" s="1192" t="str">
        <f>"Average Cost of Debt for "&amp;TCOS!L4&amp;" (Ln "&amp;A55&amp;"/ ln "&amp;A42&amp;" (g))"</f>
        <v>Average Cost of Debt for 2025 (Ln 36/ ln 28 (g))</v>
      </c>
      <c r="C57" s="1201"/>
      <c r="D57" s="1194"/>
      <c r="E57" s="1205">
        <f>+E55/H42</f>
        <v>3.7275577557755776E-2</v>
      </c>
      <c r="F57" s="1195"/>
      <c r="G57" s="1195"/>
      <c r="H57" s="1195"/>
      <c r="I57" s="1195"/>
      <c r="J57" s="1195"/>
    </row>
    <row r="58" spans="1:12">
      <c r="A58" s="1206"/>
      <c r="B58" s="1196"/>
      <c r="C58" s="1199"/>
      <c r="D58" s="1194"/>
      <c r="E58" s="1199"/>
      <c r="F58" s="1195"/>
      <c r="G58" s="1195"/>
      <c r="H58" s="1195"/>
      <c r="I58" s="1195"/>
      <c r="J58" s="1195"/>
    </row>
    <row r="59" spans="1:12" ht="16.5" customHeight="1">
      <c r="A59" s="1207"/>
      <c r="B59" s="1553" t="s">
        <v>753</v>
      </c>
      <c r="C59" s="1553"/>
      <c r="D59" s="1553"/>
      <c r="E59" s="1553"/>
      <c r="F59" s="1208"/>
      <c r="G59" s="1195"/>
      <c r="H59" s="1195"/>
      <c r="I59" s="1195"/>
      <c r="J59" s="1195"/>
    </row>
    <row r="60" spans="1:12" ht="21" customHeight="1">
      <c r="A60" s="1209">
        <f>+A57+1</f>
        <v>38</v>
      </c>
      <c r="B60" s="1554" t="str">
        <f>""&amp;A4&amp;" may not include costs (or gains) related to interest hedging activities."</f>
        <v>AEP Appalachian Transmission Company may not include costs (or gains) related to interest hedging activities.</v>
      </c>
      <c r="C60" s="1554"/>
      <c r="D60" s="1554"/>
      <c r="E60" s="1554"/>
      <c r="F60" s="1554"/>
      <c r="G60" s="1210"/>
      <c r="H60" s="1210"/>
      <c r="I60" s="1195"/>
      <c r="J60" s="1195"/>
    </row>
    <row r="61" spans="1:12">
      <c r="A61" s="1211"/>
      <c r="B61" s="1212"/>
      <c r="C61" s="1212"/>
      <c r="D61" s="1212"/>
      <c r="E61" s="1555" t="s">
        <v>219</v>
      </c>
      <c r="F61" s="1555"/>
      <c r="G61" s="1016"/>
      <c r="H61" s="1016"/>
      <c r="I61" s="1195"/>
      <c r="J61" s="1195"/>
    </row>
    <row r="62" spans="1:12" ht="38.25">
      <c r="A62" s="720"/>
      <c r="B62" s="1214" t="s">
        <v>220</v>
      </c>
      <c r="C62" s="1214" t="str">
        <f>"(Amortization of (Gain)/Loss for "&amp;TCOS!L4</f>
        <v>(Amortization of (Gain)/Loss for 2025</v>
      </c>
      <c r="D62" s="1213" t="s">
        <v>221</v>
      </c>
      <c r="E62" s="1213" t="s">
        <v>78</v>
      </c>
      <c r="F62" s="1213" t="s">
        <v>80</v>
      </c>
      <c r="G62" s="1016"/>
      <c r="H62" s="1016"/>
      <c r="I62" s="1195"/>
      <c r="J62" s="1195"/>
    </row>
    <row r="63" spans="1:12">
      <c r="A63" s="720">
        <f>+A60+1</f>
        <v>39</v>
      </c>
      <c r="B63" s="1215"/>
      <c r="C63" s="1181"/>
      <c r="D63" s="1215"/>
      <c r="E63" s="1215"/>
      <c r="F63" s="1216"/>
      <c r="G63" s="1016"/>
      <c r="H63" s="1016"/>
      <c r="I63" s="1198"/>
      <c r="J63" s="1198"/>
    </row>
    <row r="64" spans="1:12">
      <c r="A64" s="720">
        <f>+A63+1</f>
        <v>40</v>
      </c>
      <c r="B64" s="1215"/>
      <c r="C64" s="1181"/>
      <c r="D64" s="1215"/>
      <c r="E64" s="1215"/>
      <c r="F64" s="1216"/>
      <c r="G64" s="1217"/>
      <c r="H64" s="1217"/>
      <c r="I64" s="1195"/>
      <c r="J64" s="1195"/>
    </row>
    <row r="65" spans="1:10">
      <c r="A65" s="720">
        <f>+A64+1</f>
        <v>41</v>
      </c>
      <c r="B65" s="1215"/>
      <c r="C65" s="1181"/>
      <c r="D65" s="1218"/>
      <c r="E65" s="1218"/>
      <c r="F65" s="1216"/>
      <c r="G65" s="1217"/>
      <c r="H65" s="1217"/>
      <c r="I65" s="1195"/>
      <c r="J65" s="1195"/>
    </row>
    <row r="66" spans="1:10">
      <c r="A66" s="720">
        <f>+A65+1</f>
        <v>42</v>
      </c>
      <c r="B66" s="1215"/>
      <c r="C66" s="1181"/>
      <c r="D66" s="1218"/>
      <c r="E66" s="1218"/>
      <c r="F66" s="1219"/>
      <c r="G66" s="1220"/>
      <c r="H66" s="1221"/>
      <c r="I66" s="1195"/>
      <c r="J66" s="1195"/>
    </row>
    <row r="67" spans="1:10">
      <c r="A67" s="720"/>
      <c r="B67" s="1222"/>
      <c r="C67" s="1223"/>
      <c r="D67" s="1223"/>
      <c r="E67" s="1224"/>
      <c r="F67" s="1195"/>
      <c r="G67" s="1225"/>
      <c r="H67" s="1225"/>
    </row>
    <row r="68" spans="1:10">
      <c r="A68" s="720">
        <f>+A66+1</f>
        <v>43</v>
      </c>
      <c r="B68" s="1226" t="s">
        <v>245</v>
      </c>
      <c r="C68" s="1204">
        <f>SUM(C63:C67)</f>
        <v>0</v>
      </c>
      <c r="D68" s="1204">
        <f>SUM(D63:D67)</f>
        <v>0</v>
      </c>
      <c r="E68" s="1204">
        <f>SUM(E63:E67)</f>
        <v>0</v>
      </c>
      <c r="F68" s="1227">
        <f>SUM(F63:F67)</f>
        <v>0</v>
      </c>
      <c r="G68" s="1195"/>
      <c r="H68" s="1195"/>
    </row>
    <row r="69" spans="1:10">
      <c r="A69" s="720"/>
      <c r="B69" s="1196"/>
      <c r="C69" s="1204"/>
      <c r="D69" s="1204"/>
      <c r="E69" s="1204"/>
      <c r="F69" s="1195"/>
      <c r="G69" s="1195"/>
      <c r="H69" s="1195"/>
    </row>
    <row r="70" spans="1:10">
      <c r="A70" s="720"/>
      <c r="B70" s="1192"/>
      <c r="C70" s="1199"/>
      <c r="D70" s="1194"/>
      <c r="E70" s="1228"/>
      <c r="F70" s="1195"/>
      <c r="G70" s="1195"/>
      <c r="H70" s="1195"/>
    </row>
    <row r="71" spans="1:10">
      <c r="A71" s="720"/>
      <c r="B71" s="1192"/>
      <c r="C71" s="1199"/>
      <c r="D71" s="1194"/>
      <c r="E71" s="1228"/>
      <c r="F71" s="1195"/>
      <c r="G71" s="1195"/>
      <c r="H71" s="1195"/>
    </row>
    <row r="72" spans="1:10" ht="15">
      <c r="A72" s="1229" t="s">
        <v>337</v>
      </c>
      <c r="B72" s="1192"/>
      <c r="C72" s="1199"/>
      <c r="D72" s="1194"/>
      <c r="E72" s="1228"/>
      <c r="F72" s="1195"/>
      <c r="G72" s="1195"/>
      <c r="H72" s="1195"/>
    </row>
    <row r="73" spans="1:10">
      <c r="A73" s="720"/>
      <c r="B73" s="1192"/>
      <c r="C73" s="1199"/>
      <c r="D73" s="1194"/>
      <c r="E73" s="1228"/>
      <c r="F73" s="1195"/>
      <c r="G73" s="1195"/>
      <c r="H73" s="1195"/>
    </row>
    <row r="74" spans="1:10">
      <c r="A74" s="1230">
        <f>+A68+1</f>
        <v>44</v>
      </c>
      <c r="B74" s="1194" t="str">
        <f>"Balance of Preferred Stock (Line "&amp;A23&amp;" (c))"</f>
        <v>Balance of Preferred Stock (Line 14 (c))</v>
      </c>
      <c r="E74" s="1231">
        <f>+D23</f>
        <v>0</v>
      </c>
    </row>
    <row r="75" spans="1:10">
      <c r="A75" s="720">
        <f>+A74+1</f>
        <v>45</v>
      </c>
      <c r="B75" s="1194" t="s">
        <v>754</v>
      </c>
      <c r="E75" s="1219"/>
    </row>
    <row r="76" spans="1:10">
      <c r="A76" s="720">
        <f>+A75+1</f>
        <v>46</v>
      </c>
      <c r="B76" s="1232" t="str">
        <f>"Average Cost of Preferred Stock (Ln "&amp;A75&amp;" / ln "&amp;A74&amp;")"</f>
        <v>Average Cost of Preferred Stock (Ln 45 / ln 44)</v>
      </c>
      <c r="E76" s="1233"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5" t="s">
        <v>406</v>
      </c>
    </row>
    <row r="2" spans="1:21" ht="15.75">
      <c r="A2" s="1005" t="s">
        <v>406</v>
      </c>
    </row>
    <row r="3" spans="1:21" ht="18">
      <c r="A3" s="1535" t="str">
        <f>TCOS!$F$5</f>
        <v>AEPTCo subsidiaries in PJM</v>
      </c>
      <c r="B3" s="1535" t="str">
        <f>TCOS!$F$5</f>
        <v>AEPTCo subsidiaries in PJM</v>
      </c>
      <c r="C3" s="1535" t="str">
        <f>TCOS!$F$5</f>
        <v>AEPTCo subsidiaries in PJM</v>
      </c>
      <c r="D3" s="1535" t="str">
        <f>TCOS!$F$5</f>
        <v>AEPTCo subsidiaries in PJM</v>
      </c>
      <c r="E3" s="1535" t="str">
        <f>TCOS!$F$5</f>
        <v>AEPTCo subsidiaries in PJM</v>
      </c>
      <c r="F3" s="1535" t="str">
        <f>TCOS!$F$5</f>
        <v>AEPTCo subsidiaries in PJM</v>
      </c>
      <c r="G3" s="1535" t="str">
        <f>TCOS!$F$5</f>
        <v>AEPTCo subsidiaries in PJM</v>
      </c>
      <c r="H3" s="1535" t="str">
        <f>TCOS!$F$5</f>
        <v>AEPTCo subsidiaries in PJM</v>
      </c>
      <c r="I3" s="1535" t="str">
        <f>TCOS!$F$5</f>
        <v>AEPTCo subsidiaries in PJM</v>
      </c>
      <c r="J3" s="1535" t="str">
        <f>TCOS!$F$5</f>
        <v>AEPTCo subsidiaries in PJM</v>
      </c>
      <c r="K3" s="1535" t="str">
        <f>TCOS!$F$5</f>
        <v>AEPTCo subsidiaries in PJM</v>
      </c>
      <c r="L3" s="1535" t="str">
        <f>TCOS!$F$5</f>
        <v>AEPTCo subsidiaries in PJM</v>
      </c>
      <c r="M3" s="1535" t="str">
        <f>TCOS!$F$5</f>
        <v>AEPTCo subsidiaries in PJM</v>
      </c>
      <c r="N3" s="1535" t="str">
        <f>TCOS!$F$5</f>
        <v>AEPTCo subsidiaries in PJM</v>
      </c>
      <c r="O3" s="1535" t="str">
        <f>TCOS!$F$5</f>
        <v>AEPTCo subsidiaries in PJM</v>
      </c>
    </row>
    <row r="4" spans="1:21" ht="18">
      <c r="A4" s="1534" t="str">
        <f>"Cost of Service Formula Rate Using Actual/Projected FF1 Balances"</f>
        <v>Cost of Service Formula Rate Using Actual/Projected FF1 Balances</v>
      </c>
      <c r="B4" s="1534"/>
      <c r="C4" s="1534"/>
      <c r="D4" s="1534"/>
      <c r="E4" s="1534"/>
      <c r="F4" s="1534"/>
      <c r="G4" s="1534"/>
      <c r="H4" s="1534"/>
      <c r="I4" s="1534"/>
      <c r="J4" s="1534"/>
      <c r="K4" s="1534"/>
      <c r="L4" s="1534"/>
      <c r="M4" s="1534"/>
      <c r="N4" s="1534"/>
      <c r="O4" s="1534"/>
    </row>
    <row r="5" spans="1:21" ht="18">
      <c r="A5" s="1534" t="s">
        <v>24</v>
      </c>
      <c r="B5" s="1534"/>
      <c r="C5" s="1534"/>
      <c r="D5" s="1534"/>
      <c r="E5" s="1534"/>
      <c r="F5" s="1534"/>
      <c r="G5" s="1534"/>
      <c r="H5" s="1534"/>
      <c r="I5" s="1534"/>
      <c r="J5" s="1534"/>
      <c r="K5" s="1534"/>
      <c r="L5" s="1534"/>
      <c r="M5" s="1534"/>
      <c r="N5" s="1534"/>
      <c r="O5" s="1534"/>
    </row>
    <row r="6" spans="1:21" ht="18">
      <c r="A6" s="1526" t="str">
        <f>+TCOS!F9</f>
        <v>AEP Appalachian Transmission Company</v>
      </c>
      <c r="B6" s="1526"/>
      <c r="C6" s="1526"/>
      <c r="D6" s="1526"/>
      <c r="E6" s="1526"/>
      <c r="F6" s="1526"/>
      <c r="G6" s="1526"/>
      <c r="H6" s="1526"/>
      <c r="I6" s="1526"/>
      <c r="J6" s="1526"/>
      <c r="K6" s="1526"/>
      <c r="L6" s="1526"/>
      <c r="M6" s="1526"/>
      <c r="N6" s="1526"/>
      <c r="O6" s="1526"/>
    </row>
    <row r="7" spans="1:21" ht="12.75" customHeight="1">
      <c r="A7" s="81"/>
      <c r="B7" s="81"/>
      <c r="C7" s="81"/>
      <c r="D7" s="81"/>
      <c r="E7" s="81"/>
      <c r="F7" s="81"/>
      <c r="G7" s="81"/>
      <c r="H7" s="81"/>
      <c r="I7" s="81"/>
      <c r="J7" s="81"/>
      <c r="K7" s="81"/>
      <c r="L7" s="81"/>
    </row>
    <row r="8" spans="1:21" ht="12.75" customHeight="1">
      <c r="A8" s="1562" t="s">
        <v>16</v>
      </c>
      <c r="B8" s="1562"/>
      <c r="C8" s="1562"/>
      <c r="D8" s="1562"/>
      <c r="E8" s="1562"/>
      <c r="F8" s="1562"/>
      <c r="G8" s="1562"/>
      <c r="H8" s="1562"/>
      <c r="I8" s="1562"/>
      <c r="J8" s="1562"/>
      <c r="K8" s="1562"/>
      <c r="L8" s="1562"/>
      <c r="M8" s="1562"/>
      <c r="N8" s="1562"/>
      <c r="O8" s="1562"/>
    </row>
    <row r="9" spans="1:21" ht="12.75" customHeight="1">
      <c r="A9" s="1562"/>
      <c r="B9" s="1562"/>
      <c r="C9" s="1562"/>
      <c r="D9" s="1562"/>
      <c r="E9" s="1562"/>
      <c r="F9" s="1562"/>
      <c r="G9" s="1562"/>
      <c r="H9" s="1562"/>
      <c r="I9" s="1562"/>
      <c r="J9" s="1562"/>
      <c r="K9" s="1562"/>
      <c r="L9" s="1562"/>
      <c r="M9" s="1562"/>
      <c r="N9" s="1562"/>
      <c r="O9" s="1562"/>
    </row>
    <row r="10" spans="1:21">
      <c r="A10" s="1562"/>
      <c r="B10" s="1562"/>
      <c r="C10" s="1562"/>
      <c r="D10" s="1562"/>
      <c r="E10" s="1562"/>
      <c r="F10" s="1562"/>
      <c r="G10" s="1562"/>
      <c r="H10" s="1562"/>
      <c r="I10" s="1562"/>
      <c r="J10" s="1562"/>
      <c r="K10" s="1562"/>
      <c r="L10" s="1562"/>
      <c r="M10" s="1562"/>
      <c r="N10" s="1562"/>
      <c r="O10" s="1562"/>
    </row>
    <row r="11" spans="1:21">
      <c r="A11" s="1562"/>
      <c r="B11" s="1562"/>
      <c r="C11" s="1562"/>
      <c r="D11" s="1562"/>
      <c r="E11" s="1562"/>
      <c r="F11" s="1562"/>
      <c r="G11" s="1562"/>
      <c r="H11" s="1562"/>
      <c r="I11" s="1562"/>
      <c r="J11" s="1562"/>
      <c r="K11" s="1562"/>
      <c r="L11" s="1562"/>
      <c r="M11" s="1562"/>
      <c r="N11" s="1562"/>
      <c r="O11" s="1562"/>
    </row>
    <row r="12" spans="1:21">
      <c r="B12" s="1" t="s">
        <v>452</v>
      </c>
      <c r="C12" s="1"/>
      <c r="D12" s="1533" t="s">
        <v>453</v>
      </c>
      <c r="E12" s="1533"/>
      <c r="F12" s="1533"/>
      <c r="G12" s="1533"/>
      <c r="H12" s="1"/>
      <c r="I12" s="1" t="s">
        <v>323</v>
      </c>
      <c r="J12" s="1"/>
      <c r="K12" s="1" t="s">
        <v>455</v>
      </c>
      <c r="L12" s="1"/>
      <c r="M12" s="1" t="s">
        <v>375</v>
      </c>
      <c r="N12" s="1"/>
      <c r="O12" s="1" t="s">
        <v>376</v>
      </c>
      <c r="P12" s="1"/>
      <c r="Q12" s="1" t="s">
        <v>349</v>
      </c>
      <c r="R12" s="1"/>
      <c r="S12" s="1" t="s">
        <v>382</v>
      </c>
      <c r="U12" s="56" t="s">
        <v>288</v>
      </c>
    </row>
    <row r="13" spans="1:21">
      <c r="I13" s="1560" t="s">
        <v>347</v>
      </c>
      <c r="Q13" s="1563" t="s">
        <v>348</v>
      </c>
      <c r="S13" s="1560" t="s">
        <v>350</v>
      </c>
      <c r="U13" s="139" t="s">
        <v>265</v>
      </c>
    </row>
    <row r="14" spans="1:21">
      <c r="A14" s="84" t="s">
        <v>346</v>
      </c>
      <c r="B14" s="84" t="s">
        <v>342</v>
      </c>
      <c r="C14" s="84"/>
      <c r="D14" s="102" t="s">
        <v>343</v>
      </c>
      <c r="E14" s="84"/>
      <c r="F14" s="84"/>
      <c r="G14" s="84"/>
      <c r="H14" s="84"/>
      <c r="I14" s="1561"/>
      <c r="J14" s="84"/>
      <c r="K14" s="84" t="s">
        <v>344</v>
      </c>
      <c r="L14" s="84"/>
      <c r="M14" s="84" t="s">
        <v>345</v>
      </c>
      <c r="N14" s="84"/>
      <c r="O14" s="84" t="s">
        <v>282</v>
      </c>
      <c r="Q14" s="1563"/>
      <c r="S14" s="1560"/>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64"/>
      <c r="E17" s="1564"/>
      <c r="F17" s="1564"/>
      <c r="G17" s="1564"/>
      <c r="I17" s="859"/>
      <c r="K17" s="857"/>
      <c r="L17" s="75"/>
      <c r="M17" s="857"/>
      <c r="O17" s="88">
        <f>+K17-M17</f>
        <v>0</v>
      </c>
      <c r="Q17" s="104">
        <f>IF(I17="G",TCOS!L219,IF(I17="T",1,0))</f>
        <v>0</v>
      </c>
      <c r="S17" s="88">
        <f>ROUND(O17*Q17,0)</f>
        <v>0</v>
      </c>
      <c r="U17" s="860"/>
    </row>
    <row r="18" spans="1:21">
      <c r="A18" s="1"/>
      <c r="D18" s="1564"/>
      <c r="E18" s="1564"/>
      <c r="F18" s="1564"/>
      <c r="G18" s="1564"/>
      <c r="K18" s="75"/>
      <c r="L18" s="75"/>
      <c r="M18" s="75"/>
      <c r="O18" s="75"/>
      <c r="Q18" s="104"/>
      <c r="S18" s="75"/>
    </row>
    <row r="19" spans="1:21">
      <c r="A19" s="1"/>
      <c r="D19" s="1564"/>
      <c r="E19" s="1564"/>
      <c r="F19" s="1564"/>
      <c r="G19" s="156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64"/>
      <c r="E22" s="1564"/>
      <c r="F22" s="1564"/>
      <c r="G22" s="1564"/>
      <c r="I22" s="859"/>
      <c r="K22" s="857"/>
      <c r="L22" s="75"/>
      <c r="M22" s="857"/>
      <c r="O22" s="88">
        <f>+K22-M22</f>
        <v>0</v>
      </c>
      <c r="Q22" s="104">
        <f>IF(I22="G",TCOS!L219,IF(I22="T",1,0))</f>
        <v>0</v>
      </c>
      <c r="S22" s="88">
        <f>ROUND(O22*Q22,0)</f>
        <v>0</v>
      </c>
      <c r="U22" s="860"/>
    </row>
    <row r="23" spans="1:21">
      <c r="A23" s="1"/>
      <c r="D23" s="1564"/>
      <c r="E23" s="1564"/>
      <c r="F23" s="1564"/>
      <c r="G23" s="1564"/>
      <c r="K23" s="75"/>
      <c r="L23" s="75"/>
      <c r="M23" s="75"/>
      <c r="O23" s="75"/>
      <c r="Q23" s="104"/>
      <c r="S23" s="75"/>
    </row>
    <row r="24" spans="1:21">
      <c r="A24" s="1"/>
      <c r="D24" s="1564"/>
      <c r="E24" s="1564"/>
      <c r="F24" s="1564"/>
      <c r="G24" s="156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64"/>
      <c r="E27" s="1564"/>
      <c r="F27" s="1564"/>
      <c r="G27" s="1564"/>
      <c r="I27" s="859"/>
      <c r="K27" s="857"/>
      <c r="L27" s="75"/>
      <c r="M27" s="857"/>
      <c r="O27" s="88">
        <f>+K27-M27</f>
        <v>0</v>
      </c>
      <c r="Q27" s="104">
        <f>IF(I27="G",TCOS!L219,IF(I27="T",1,0))</f>
        <v>0</v>
      </c>
      <c r="S27" s="88">
        <f>ROUND(O27*Q27,0)</f>
        <v>0</v>
      </c>
      <c r="U27" s="860"/>
    </row>
    <row r="28" spans="1:21">
      <c r="A28" s="1"/>
      <c r="D28" s="1564"/>
      <c r="E28" s="1564"/>
      <c r="F28" s="1564"/>
      <c r="G28" s="1564"/>
      <c r="K28" s="75"/>
      <c r="L28" s="75"/>
      <c r="M28" s="75"/>
      <c r="O28" s="75"/>
      <c r="Q28" s="104"/>
      <c r="S28" s="75"/>
    </row>
    <row r="29" spans="1:21">
      <c r="A29" s="1"/>
      <c r="D29" s="1564"/>
      <c r="E29" s="1564"/>
      <c r="F29" s="1564"/>
      <c r="G29" s="156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8"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19" sqref="D19"/>
    </sheetView>
  </sheetViews>
  <sheetFormatPr defaultColWidth="11.42578125" defaultRowHeight="12.75"/>
  <cols>
    <col min="1" max="1" width="37.85546875" style="1272" customWidth="1"/>
    <col min="2" max="2" width="25.42578125" style="1272" customWidth="1"/>
    <col min="3" max="3" width="53.42578125" style="1272" customWidth="1"/>
    <col min="4" max="4" width="18.42578125" style="1272" customWidth="1"/>
    <col min="5" max="5" width="11.42578125" style="1272" customWidth="1"/>
    <col min="6" max="6" width="13.7109375" style="1272" bestFit="1" customWidth="1"/>
    <col min="7" max="16384" width="11.42578125" style="1272"/>
  </cols>
  <sheetData>
    <row r="1" spans="1:6" ht="15.75">
      <c r="A1" s="1271" t="s">
        <v>406</v>
      </c>
    </row>
    <row r="2" spans="1:6" ht="15.75">
      <c r="A2" s="1271" t="s">
        <v>406</v>
      </c>
    </row>
    <row r="3" spans="1:6" ht="15.75">
      <c r="A3" s="1566" t="str">
        <f>TCOS!F5</f>
        <v>AEPTCo subsidiaries in PJM</v>
      </c>
      <c r="B3" s="1566" t="s">
        <v>321</v>
      </c>
      <c r="C3" s="1566" t="s">
        <v>321</v>
      </c>
      <c r="D3" s="1566" t="s">
        <v>321</v>
      </c>
    </row>
    <row r="4" spans="1:6" ht="15.75">
      <c r="A4" s="1566" t="str">
        <f>"Cost of Service Formula Rate Using Actual/Projected FF1 Balances"</f>
        <v>Cost of Service Formula Rate Using Actual/Projected FF1 Balances</v>
      </c>
      <c r="B4" s="1566"/>
      <c r="C4" s="1566"/>
      <c r="D4" s="1566"/>
    </row>
    <row r="5" spans="1:6" ht="15.75">
      <c r="A5" s="1566" t="s">
        <v>778</v>
      </c>
      <c r="B5" s="1566"/>
      <c r="C5" s="1566"/>
      <c r="D5" s="1566"/>
    </row>
    <row r="6" spans="1:6" ht="15.75">
      <c r="A6" s="1566" t="s">
        <v>779</v>
      </c>
      <c r="B6" s="1566"/>
      <c r="C6" s="1566"/>
      <c r="D6" s="1566"/>
    </row>
    <row r="7" spans="1:6" ht="15.75">
      <c r="A7" s="1567" t="str">
        <f>TCOS!F9</f>
        <v>AEP Appalachian Transmission Company</v>
      </c>
      <c r="B7" s="1567"/>
      <c r="C7" s="1567"/>
      <c r="D7" s="1567"/>
    </row>
    <row r="8" spans="1:6" ht="15.75">
      <c r="A8" s="1274"/>
      <c r="B8" s="1275"/>
      <c r="C8" s="1275"/>
      <c r="D8" s="1275"/>
    </row>
    <row r="9" spans="1:6" ht="15.75">
      <c r="A9" s="1276"/>
      <c r="B9" s="1277"/>
      <c r="C9" s="1277"/>
      <c r="D9" s="1277"/>
    </row>
    <row r="10" spans="1:6" ht="15.75">
      <c r="A10" s="1278"/>
      <c r="B10" s="1278"/>
      <c r="C10" s="1278"/>
      <c r="D10" s="1278"/>
    </row>
    <row r="11" spans="1:6" ht="15.75">
      <c r="A11" s="1279" t="s">
        <v>780</v>
      </c>
      <c r="B11" s="1277" t="s">
        <v>452</v>
      </c>
      <c r="C11" s="1280"/>
      <c r="D11" s="1277" t="s">
        <v>453</v>
      </c>
    </row>
    <row r="12" spans="1:6" ht="15.75">
      <c r="A12" s="1273">
        <f>1</f>
        <v>1</v>
      </c>
      <c r="B12" s="1281" t="s">
        <v>781</v>
      </c>
      <c r="C12" s="1282"/>
      <c r="D12" s="1273"/>
    </row>
    <row r="13" spans="1:6" ht="15.75">
      <c r="A13" s="1273"/>
      <c r="B13" s="1281"/>
      <c r="C13" s="1282"/>
      <c r="D13" s="1273"/>
    </row>
    <row r="14" spans="1:6" ht="15.75">
      <c r="A14" s="1273"/>
      <c r="B14" s="1283"/>
      <c r="C14" s="1283"/>
      <c r="D14" s="1283"/>
    </row>
    <row r="15" spans="1:6" ht="15.75">
      <c r="A15" s="1273">
        <f>A12+1</f>
        <v>2</v>
      </c>
      <c r="B15" s="1284" t="s">
        <v>782</v>
      </c>
      <c r="C15" s="1285"/>
      <c r="D15" s="1286"/>
    </row>
    <row r="16" spans="1:6" ht="15.75">
      <c r="A16" s="1273">
        <f t="shared" ref="A16:A23" si="0">+A15+1</f>
        <v>3</v>
      </c>
      <c r="B16" s="1287" t="s">
        <v>783</v>
      </c>
      <c r="C16" s="1287"/>
      <c r="D16" s="1400">
        <v>-107301486</v>
      </c>
      <c r="F16" s="1288"/>
    </row>
    <row r="17" spans="1:6" ht="15.75">
      <c r="A17" s="1273">
        <f t="shared" si="0"/>
        <v>4</v>
      </c>
      <c r="B17" s="1287" t="s">
        <v>784</v>
      </c>
      <c r="C17" s="1287"/>
      <c r="D17" s="1401">
        <v>0</v>
      </c>
      <c r="F17" s="1288"/>
    </row>
    <row r="18" spans="1:6" ht="15.75">
      <c r="A18" s="1273">
        <f t="shared" si="0"/>
        <v>5</v>
      </c>
      <c r="B18" s="1287" t="s">
        <v>785</v>
      </c>
      <c r="C18" s="1287"/>
      <c r="D18" s="1401">
        <f>+D16-D17</f>
        <v>-107301486</v>
      </c>
    </row>
    <row r="19" spans="1:6" ht="15.75">
      <c r="A19" s="1273">
        <f t="shared" si="0"/>
        <v>6</v>
      </c>
      <c r="B19" s="1287" t="s">
        <v>786</v>
      </c>
      <c r="C19" s="1287"/>
      <c r="D19" s="1400">
        <v>1641378842.3199933</v>
      </c>
    </row>
    <row r="20" spans="1:6" ht="15.75">
      <c r="A20" s="1273">
        <f t="shared" si="0"/>
        <v>7</v>
      </c>
      <c r="B20" s="1287" t="s">
        <v>787</v>
      </c>
      <c r="C20" s="1287"/>
      <c r="D20" s="1402">
        <f>+D18/D19</f>
        <v>-6.5372772716099842E-2</v>
      </c>
    </row>
    <row r="21" spans="1:6" ht="15.75">
      <c r="A21" s="1273">
        <f t="shared" si="0"/>
        <v>8</v>
      </c>
      <c r="B21" s="1287" t="s">
        <v>788</v>
      </c>
      <c r="C21" s="1287"/>
      <c r="D21" s="1403">
        <v>-7.8E-2</v>
      </c>
      <c r="E21" s="1289"/>
    </row>
    <row r="22" spans="1:6" ht="15.75">
      <c r="A22" s="1273">
        <f t="shared" si="0"/>
        <v>9</v>
      </c>
      <c r="B22" s="1287" t="s">
        <v>789</v>
      </c>
      <c r="C22" s="1287"/>
      <c r="D22" s="1404">
        <v>340566.19431948179</v>
      </c>
    </row>
    <row r="23" spans="1:6" ht="15.75">
      <c r="A23" s="1273">
        <f t="shared" si="0"/>
        <v>10</v>
      </c>
      <c r="B23" s="1287" t="str">
        <f>"Allowable TransCo PBOP Expense for current year (Ln "&amp;A21&amp;" * Ln "&amp;A22&amp;")"</f>
        <v>Allowable TransCo PBOP Expense for current year (Ln 8 * Ln 9)</v>
      </c>
      <c r="C23" s="1287"/>
      <c r="D23" s="1405">
        <f>+D21*D22</f>
        <v>-26564.163156919578</v>
      </c>
    </row>
    <row r="24" spans="1:6" ht="15.75">
      <c r="A24" s="1273"/>
      <c r="B24" s="1287"/>
      <c r="C24" s="1287"/>
      <c r="D24" s="1405"/>
    </row>
    <row r="25" spans="1:6" ht="15.75">
      <c r="A25" s="1273"/>
      <c r="B25" s="1287"/>
      <c r="C25" s="1287"/>
      <c r="D25" s="1405"/>
    </row>
    <row r="26" spans="1:6" ht="15.75">
      <c r="A26" s="1273">
        <f>+A23+1</f>
        <v>11</v>
      </c>
      <c r="B26" s="1290" t="s">
        <v>790</v>
      </c>
      <c r="C26" s="1287"/>
      <c r="D26" s="1406">
        <v>0</v>
      </c>
    </row>
    <row r="27" spans="1:6" ht="15.75">
      <c r="A27" s="1273">
        <f>+A26+1</f>
        <v>12</v>
      </c>
      <c r="B27" s="1291" t="s">
        <v>791</v>
      </c>
      <c r="C27" s="1287"/>
      <c r="D27" s="1406">
        <v>0</v>
      </c>
    </row>
    <row r="28" spans="1:6" ht="15.75">
      <c r="A28" s="1273">
        <f>+A27+1</f>
        <v>13</v>
      </c>
      <c r="B28" s="1291" t="s">
        <v>792</v>
      </c>
      <c r="C28" s="1287"/>
      <c r="D28" s="1406">
        <v>0</v>
      </c>
    </row>
    <row r="29" spans="1:6" ht="16.5" thickBot="1">
      <c r="A29" s="1292">
        <f>+A28+1</f>
        <v>14</v>
      </c>
      <c r="B29" s="1293" t="s">
        <v>793</v>
      </c>
      <c r="C29" s="1294"/>
      <c r="D29" s="1407">
        <v>-60729.077938140035</v>
      </c>
    </row>
    <row r="30" spans="1:6" ht="15.75">
      <c r="A30" s="1273">
        <f>+A29+1</f>
        <v>15</v>
      </c>
      <c r="B30" s="1283" t="s">
        <v>794</v>
      </c>
      <c r="C30" s="1283" t="str">
        <f>"(Sum Lines "&amp;A26&amp;"-"&amp;A29&amp;")"</f>
        <v>(Sum Lines 11-14)</v>
      </c>
      <c r="D30" s="1295">
        <f>SUM(D26:D29)</f>
        <v>-60729.077938140035</v>
      </c>
    </row>
    <row r="31" spans="1:6" ht="15.75">
      <c r="A31" s="1273"/>
      <c r="B31" s="1283"/>
      <c r="C31" s="1283"/>
      <c r="D31" s="1295"/>
    </row>
    <row r="32" spans="1:6" ht="15.75">
      <c r="A32" s="1273"/>
      <c r="B32" s="1283"/>
      <c r="C32" s="1283"/>
      <c r="D32" s="1295"/>
    </row>
    <row r="33" spans="1:4" s="1297" customFormat="1" ht="15.75">
      <c r="A33" s="1273">
        <f>A30+1</f>
        <v>16</v>
      </c>
      <c r="B33" s="1283" t="s">
        <v>795</v>
      </c>
      <c r="C33" s="1283" t="str">
        <f>"Line "&amp;A23&amp;" less Line "&amp;A30&amp;""</f>
        <v>Line 10 less Line 15</v>
      </c>
      <c r="D33" s="1296">
        <f>D23-D30</f>
        <v>34164.914781220461</v>
      </c>
    </row>
    <row r="34" spans="1:4" s="1297" customFormat="1" ht="15.75">
      <c r="A34" s="1273"/>
      <c r="B34" s="1283"/>
      <c r="C34" s="1283"/>
      <c r="D34" s="1296"/>
    </row>
    <row r="35" spans="1:4" ht="15.75">
      <c r="A35" s="1291" t="s">
        <v>796</v>
      </c>
    </row>
    <row r="37" spans="1:4" ht="387.75" customHeight="1">
      <c r="A37" s="1565" t="s">
        <v>797</v>
      </c>
      <c r="B37" s="1565"/>
      <c r="C37" s="1565"/>
      <c r="D37" s="156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49"/>
  <sheetViews>
    <sheetView defaultGridColor="0" view="pageBreakPreview" topLeftCell="A3" colorId="22" zoomScale="85" zoomScaleNormal="70" zoomScaleSheetLayoutView="85" workbookViewId="0">
      <selection activeCell="B29" sqref="B29:B36"/>
    </sheetView>
  </sheetViews>
  <sheetFormatPr defaultColWidth="14.7109375" defaultRowHeight="15"/>
  <cols>
    <col min="1" max="1" width="5.7109375" style="862" customWidth="1"/>
    <col min="2" max="2" width="42.5703125" style="862" customWidth="1"/>
    <col min="3" max="3" width="17.28515625" style="862" bestFit="1" customWidth="1"/>
    <col min="4" max="4" width="16.85546875" style="862" customWidth="1"/>
    <col min="5" max="5" width="18" style="862" customWidth="1"/>
    <col min="6" max="7" width="16.28515625" style="862" bestFit="1" customWidth="1"/>
    <col min="8" max="8" width="14.7109375" style="862" customWidth="1"/>
    <col min="9" max="256" width="14.7109375" style="862"/>
    <col min="257" max="257" width="5.7109375" style="862" customWidth="1"/>
    <col min="258" max="258" width="42.5703125" style="862" customWidth="1"/>
    <col min="259" max="259" width="17.28515625" style="862" bestFit="1" customWidth="1"/>
    <col min="260" max="260" width="16.85546875" style="862" customWidth="1"/>
    <col min="261" max="261" width="18" style="862" customWidth="1"/>
    <col min="262" max="263" width="16.28515625" style="862" bestFit="1" customWidth="1"/>
    <col min="264" max="264" width="14.7109375" style="862" customWidth="1"/>
    <col min="265" max="512" width="14.7109375" style="862"/>
    <col min="513" max="513" width="5.7109375" style="862" customWidth="1"/>
    <col min="514" max="514" width="42.5703125" style="862" customWidth="1"/>
    <col min="515" max="515" width="17.28515625" style="862" bestFit="1" customWidth="1"/>
    <col min="516" max="516" width="16.85546875" style="862" customWidth="1"/>
    <col min="517" max="517" width="18" style="862" customWidth="1"/>
    <col min="518" max="519" width="16.28515625" style="862" bestFit="1" customWidth="1"/>
    <col min="520" max="520" width="14.7109375" style="862" customWidth="1"/>
    <col min="521" max="768" width="14.7109375" style="862"/>
    <col min="769" max="769" width="5.7109375" style="862" customWidth="1"/>
    <col min="770" max="770" width="42.5703125" style="862" customWidth="1"/>
    <col min="771" max="771" width="17.28515625" style="862" bestFit="1" customWidth="1"/>
    <col min="772" max="772" width="16.85546875" style="862" customWidth="1"/>
    <col min="773" max="773" width="18" style="862" customWidth="1"/>
    <col min="774" max="775" width="16.28515625" style="862" bestFit="1" customWidth="1"/>
    <col min="776" max="776" width="14.7109375" style="862" customWidth="1"/>
    <col min="777" max="1024" width="14.7109375" style="862"/>
    <col min="1025" max="1025" width="5.7109375" style="862" customWidth="1"/>
    <col min="1026" max="1026" width="42.5703125" style="862" customWidth="1"/>
    <col min="1027" max="1027" width="17.28515625" style="862" bestFit="1" customWidth="1"/>
    <col min="1028" max="1028" width="16.85546875" style="862" customWidth="1"/>
    <col min="1029" max="1029" width="18" style="862" customWidth="1"/>
    <col min="1030" max="1031" width="16.28515625" style="862" bestFit="1" customWidth="1"/>
    <col min="1032" max="1032" width="14.7109375" style="862" customWidth="1"/>
    <col min="1033" max="1280" width="14.7109375" style="862"/>
    <col min="1281" max="1281" width="5.7109375" style="862" customWidth="1"/>
    <col min="1282" max="1282" width="42.5703125" style="862" customWidth="1"/>
    <col min="1283" max="1283" width="17.28515625" style="862" bestFit="1" customWidth="1"/>
    <col min="1284" max="1284" width="16.85546875" style="862" customWidth="1"/>
    <col min="1285" max="1285" width="18" style="862" customWidth="1"/>
    <col min="1286" max="1287" width="16.28515625" style="862" bestFit="1" customWidth="1"/>
    <col min="1288" max="1288" width="14.7109375" style="862" customWidth="1"/>
    <col min="1289" max="1536" width="14.7109375" style="862"/>
    <col min="1537" max="1537" width="5.7109375" style="862" customWidth="1"/>
    <col min="1538" max="1538" width="42.5703125" style="862" customWidth="1"/>
    <col min="1539" max="1539" width="17.28515625" style="862" bestFit="1" customWidth="1"/>
    <col min="1540" max="1540" width="16.85546875" style="862" customWidth="1"/>
    <col min="1541" max="1541" width="18" style="862" customWidth="1"/>
    <col min="1542" max="1543" width="16.28515625" style="862" bestFit="1" customWidth="1"/>
    <col min="1544" max="1544" width="14.7109375" style="862" customWidth="1"/>
    <col min="1545" max="1792" width="14.7109375" style="862"/>
    <col min="1793" max="1793" width="5.7109375" style="862" customWidth="1"/>
    <col min="1794" max="1794" width="42.5703125" style="862" customWidth="1"/>
    <col min="1795" max="1795" width="17.28515625" style="862" bestFit="1" customWidth="1"/>
    <col min="1796" max="1796" width="16.85546875" style="862" customWidth="1"/>
    <col min="1797" max="1797" width="18" style="862" customWidth="1"/>
    <col min="1798" max="1799" width="16.28515625" style="862" bestFit="1" customWidth="1"/>
    <col min="1800" max="1800" width="14.7109375" style="862" customWidth="1"/>
    <col min="1801" max="2048" width="14.7109375" style="862"/>
    <col min="2049" max="2049" width="5.7109375" style="862" customWidth="1"/>
    <col min="2050" max="2050" width="42.5703125" style="862" customWidth="1"/>
    <col min="2051" max="2051" width="17.28515625" style="862" bestFit="1" customWidth="1"/>
    <col min="2052" max="2052" width="16.85546875" style="862" customWidth="1"/>
    <col min="2053" max="2053" width="18" style="862" customWidth="1"/>
    <col min="2054" max="2055" width="16.28515625" style="862" bestFit="1" customWidth="1"/>
    <col min="2056" max="2056" width="14.7109375" style="862" customWidth="1"/>
    <col min="2057" max="2304" width="14.7109375" style="862"/>
    <col min="2305" max="2305" width="5.7109375" style="862" customWidth="1"/>
    <col min="2306" max="2306" width="42.5703125" style="862" customWidth="1"/>
    <col min="2307" max="2307" width="17.28515625" style="862" bestFit="1" customWidth="1"/>
    <col min="2308" max="2308" width="16.85546875" style="862" customWidth="1"/>
    <col min="2309" max="2309" width="18" style="862" customWidth="1"/>
    <col min="2310" max="2311" width="16.28515625" style="862" bestFit="1" customWidth="1"/>
    <col min="2312" max="2312" width="14.7109375" style="862" customWidth="1"/>
    <col min="2313" max="2560" width="14.7109375" style="862"/>
    <col min="2561" max="2561" width="5.7109375" style="862" customWidth="1"/>
    <col min="2562" max="2562" width="42.5703125" style="862" customWidth="1"/>
    <col min="2563" max="2563" width="17.28515625" style="862" bestFit="1" customWidth="1"/>
    <col min="2564" max="2564" width="16.85546875" style="862" customWidth="1"/>
    <col min="2565" max="2565" width="18" style="862" customWidth="1"/>
    <col min="2566" max="2567" width="16.28515625" style="862" bestFit="1" customWidth="1"/>
    <col min="2568" max="2568" width="14.7109375" style="862" customWidth="1"/>
    <col min="2569" max="2816" width="14.7109375" style="862"/>
    <col min="2817" max="2817" width="5.7109375" style="862" customWidth="1"/>
    <col min="2818" max="2818" width="42.5703125" style="862" customWidth="1"/>
    <col min="2819" max="2819" width="17.28515625" style="862" bestFit="1" customWidth="1"/>
    <col min="2820" max="2820" width="16.85546875" style="862" customWidth="1"/>
    <col min="2821" max="2821" width="18" style="862" customWidth="1"/>
    <col min="2822" max="2823" width="16.28515625" style="862" bestFit="1" customWidth="1"/>
    <col min="2824" max="2824" width="14.7109375" style="862" customWidth="1"/>
    <col min="2825" max="3072" width="14.7109375" style="862"/>
    <col min="3073" max="3073" width="5.7109375" style="862" customWidth="1"/>
    <col min="3074" max="3074" width="42.5703125" style="862" customWidth="1"/>
    <col min="3075" max="3075" width="17.28515625" style="862" bestFit="1" customWidth="1"/>
    <col min="3076" max="3076" width="16.85546875" style="862" customWidth="1"/>
    <col min="3077" max="3077" width="18" style="862" customWidth="1"/>
    <col min="3078" max="3079" width="16.28515625" style="862" bestFit="1" customWidth="1"/>
    <col min="3080" max="3080" width="14.7109375" style="862" customWidth="1"/>
    <col min="3081" max="3328" width="14.7109375" style="862"/>
    <col min="3329" max="3329" width="5.7109375" style="862" customWidth="1"/>
    <col min="3330" max="3330" width="42.5703125" style="862" customWidth="1"/>
    <col min="3331" max="3331" width="17.28515625" style="862" bestFit="1" customWidth="1"/>
    <col min="3332" max="3332" width="16.85546875" style="862" customWidth="1"/>
    <col min="3333" max="3333" width="18" style="862" customWidth="1"/>
    <col min="3334" max="3335" width="16.28515625" style="862" bestFit="1" customWidth="1"/>
    <col min="3336" max="3336" width="14.7109375" style="862" customWidth="1"/>
    <col min="3337" max="3584" width="14.7109375" style="862"/>
    <col min="3585" max="3585" width="5.7109375" style="862" customWidth="1"/>
    <col min="3586" max="3586" width="42.5703125" style="862" customWidth="1"/>
    <col min="3587" max="3587" width="17.28515625" style="862" bestFit="1" customWidth="1"/>
    <col min="3588" max="3588" width="16.85546875" style="862" customWidth="1"/>
    <col min="3589" max="3589" width="18" style="862" customWidth="1"/>
    <col min="3590" max="3591" width="16.28515625" style="862" bestFit="1" customWidth="1"/>
    <col min="3592" max="3592" width="14.7109375" style="862" customWidth="1"/>
    <col min="3593" max="3840" width="14.7109375" style="862"/>
    <col min="3841" max="3841" width="5.7109375" style="862" customWidth="1"/>
    <col min="3842" max="3842" width="42.5703125" style="862" customWidth="1"/>
    <col min="3843" max="3843" width="17.28515625" style="862" bestFit="1" customWidth="1"/>
    <col min="3844" max="3844" width="16.85546875" style="862" customWidth="1"/>
    <col min="3845" max="3845" width="18" style="862" customWidth="1"/>
    <col min="3846" max="3847" width="16.28515625" style="862" bestFit="1" customWidth="1"/>
    <col min="3848" max="3848" width="14.7109375" style="862" customWidth="1"/>
    <col min="3849" max="4096" width="14.7109375" style="862"/>
    <col min="4097" max="4097" width="5.7109375" style="862" customWidth="1"/>
    <col min="4098" max="4098" width="42.5703125" style="862" customWidth="1"/>
    <col min="4099" max="4099" width="17.28515625" style="862" bestFit="1" customWidth="1"/>
    <col min="4100" max="4100" width="16.85546875" style="862" customWidth="1"/>
    <col min="4101" max="4101" width="18" style="862" customWidth="1"/>
    <col min="4102" max="4103" width="16.28515625" style="862" bestFit="1" customWidth="1"/>
    <col min="4104" max="4104" width="14.7109375" style="862" customWidth="1"/>
    <col min="4105" max="4352" width="14.7109375" style="862"/>
    <col min="4353" max="4353" width="5.7109375" style="862" customWidth="1"/>
    <col min="4354" max="4354" width="42.5703125" style="862" customWidth="1"/>
    <col min="4355" max="4355" width="17.28515625" style="862" bestFit="1" customWidth="1"/>
    <col min="4356" max="4356" width="16.85546875" style="862" customWidth="1"/>
    <col min="4357" max="4357" width="18" style="862" customWidth="1"/>
    <col min="4358" max="4359" width="16.28515625" style="862" bestFit="1" customWidth="1"/>
    <col min="4360" max="4360" width="14.7109375" style="862" customWidth="1"/>
    <col min="4361" max="4608" width="14.7109375" style="862"/>
    <col min="4609" max="4609" width="5.7109375" style="862" customWidth="1"/>
    <col min="4610" max="4610" width="42.5703125" style="862" customWidth="1"/>
    <col min="4611" max="4611" width="17.28515625" style="862" bestFit="1" customWidth="1"/>
    <col min="4612" max="4612" width="16.85546875" style="862" customWidth="1"/>
    <col min="4613" max="4613" width="18" style="862" customWidth="1"/>
    <col min="4614" max="4615" width="16.28515625" style="862" bestFit="1" customWidth="1"/>
    <col min="4616" max="4616" width="14.7109375" style="862" customWidth="1"/>
    <col min="4617" max="4864" width="14.7109375" style="862"/>
    <col min="4865" max="4865" width="5.7109375" style="862" customWidth="1"/>
    <col min="4866" max="4866" width="42.5703125" style="862" customWidth="1"/>
    <col min="4867" max="4867" width="17.28515625" style="862" bestFit="1" customWidth="1"/>
    <col min="4868" max="4868" width="16.85546875" style="862" customWidth="1"/>
    <col min="4869" max="4869" width="18" style="862" customWidth="1"/>
    <col min="4870" max="4871" width="16.28515625" style="862" bestFit="1" customWidth="1"/>
    <col min="4872" max="4872" width="14.7109375" style="862" customWidth="1"/>
    <col min="4873" max="5120" width="14.7109375" style="862"/>
    <col min="5121" max="5121" width="5.7109375" style="862" customWidth="1"/>
    <col min="5122" max="5122" width="42.5703125" style="862" customWidth="1"/>
    <col min="5123" max="5123" width="17.28515625" style="862" bestFit="1" customWidth="1"/>
    <col min="5124" max="5124" width="16.85546875" style="862" customWidth="1"/>
    <col min="5125" max="5125" width="18" style="862" customWidth="1"/>
    <col min="5126" max="5127" width="16.28515625" style="862" bestFit="1" customWidth="1"/>
    <col min="5128" max="5128" width="14.7109375" style="862" customWidth="1"/>
    <col min="5129" max="5376" width="14.7109375" style="862"/>
    <col min="5377" max="5377" width="5.7109375" style="862" customWidth="1"/>
    <col min="5378" max="5378" width="42.5703125" style="862" customWidth="1"/>
    <col min="5379" max="5379" width="17.28515625" style="862" bestFit="1" customWidth="1"/>
    <col min="5380" max="5380" width="16.85546875" style="862" customWidth="1"/>
    <col min="5381" max="5381" width="18" style="862" customWidth="1"/>
    <col min="5382" max="5383" width="16.28515625" style="862" bestFit="1" customWidth="1"/>
    <col min="5384" max="5384" width="14.7109375" style="862" customWidth="1"/>
    <col min="5385" max="5632" width="14.7109375" style="862"/>
    <col min="5633" max="5633" width="5.7109375" style="862" customWidth="1"/>
    <col min="5634" max="5634" width="42.5703125" style="862" customWidth="1"/>
    <col min="5635" max="5635" width="17.28515625" style="862" bestFit="1" customWidth="1"/>
    <col min="5636" max="5636" width="16.85546875" style="862" customWidth="1"/>
    <col min="5637" max="5637" width="18" style="862" customWidth="1"/>
    <col min="5638" max="5639" width="16.28515625" style="862" bestFit="1" customWidth="1"/>
    <col min="5640" max="5640" width="14.7109375" style="862" customWidth="1"/>
    <col min="5641" max="5888" width="14.7109375" style="862"/>
    <col min="5889" max="5889" width="5.7109375" style="862" customWidth="1"/>
    <col min="5890" max="5890" width="42.5703125" style="862" customWidth="1"/>
    <col min="5891" max="5891" width="17.28515625" style="862" bestFit="1" customWidth="1"/>
    <col min="5892" max="5892" width="16.85546875" style="862" customWidth="1"/>
    <col min="5893" max="5893" width="18" style="862" customWidth="1"/>
    <col min="5894" max="5895" width="16.28515625" style="862" bestFit="1" customWidth="1"/>
    <col min="5896" max="5896" width="14.7109375" style="862" customWidth="1"/>
    <col min="5897" max="6144" width="14.7109375" style="862"/>
    <col min="6145" max="6145" width="5.7109375" style="862" customWidth="1"/>
    <col min="6146" max="6146" width="42.5703125" style="862" customWidth="1"/>
    <col min="6147" max="6147" width="17.28515625" style="862" bestFit="1" customWidth="1"/>
    <col min="6148" max="6148" width="16.85546875" style="862" customWidth="1"/>
    <col min="6149" max="6149" width="18" style="862" customWidth="1"/>
    <col min="6150" max="6151" width="16.28515625" style="862" bestFit="1" customWidth="1"/>
    <col min="6152" max="6152" width="14.7109375" style="862" customWidth="1"/>
    <col min="6153" max="6400" width="14.7109375" style="862"/>
    <col min="6401" max="6401" width="5.7109375" style="862" customWidth="1"/>
    <col min="6402" max="6402" width="42.5703125" style="862" customWidth="1"/>
    <col min="6403" max="6403" width="17.28515625" style="862" bestFit="1" customWidth="1"/>
    <col min="6404" max="6404" width="16.85546875" style="862" customWidth="1"/>
    <col min="6405" max="6405" width="18" style="862" customWidth="1"/>
    <col min="6406" max="6407" width="16.28515625" style="862" bestFit="1" customWidth="1"/>
    <col min="6408" max="6408" width="14.7109375" style="862" customWidth="1"/>
    <col min="6409" max="6656" width="14.7109375" style="862"/>
    <col min="6657" max="6657" width="5.7109375" style="862" customWidth="1"/>
    <col min="6658" max="6658" width="42.5703125" style="862" customWidth="1"/>
    <col min="6659" max="6659" width="17.28515625" style="862" bestFit="1" customWidth="1"/>
    <col min="6660" max="6660" width="16.85546875" style="862" customWidth="1"/>
    <col min="6661" max="6661" width="18" style="862" customWidth="1"/>
    <col min="6662" max="6663" width="16.28515625" style="862" bestFit="1" customWidth="1"/>
    <col min="6664" max="6664" width="14.7109375" style="862" customWidth="1"/>
    <col min="6665" max="6912" width="14.7109375" style="862"/>
    <col min="6913" max="6913" width="5.7109375" style="862" customWidth="1"/>
    <col min="6914" max="6914" width="42.5703125" style="862" customWidth="1"/>
    <col min="6915" max="6915" width="17.28515625" style="862" bestFit="1" customWidth="1"/>
    <col min="6916" max="6916" width="16.85546875" style="862" customWidth="1"/>
    <col min="6917" max="6917" width="18" style="862" customWidth="1"/>
    <col min="6918" max="6919" width="16.28515625" style="862" bestFit="1" customWidth="1"/>
    <col min="6920" max="6920" width="14.7109375" style="862" customWidth="1"/>
    <col min="6921" max="7168" width="14.7109375" style="862"/>
    <col min="7169" max="7169" width="5.7109375" style="862" customWidth="1"/>
    <col min="7170" max="7170" width="42.5703125" style="862" customWidth="1"/>
    <col min="7171" max="7171" width="17.28515625" style="862" bestFit="1" customWidth="1"/>
    <col min="7172" max="7172" width="16.85546875" style="862" customWidth="1"/>
    <col min="7173" max="7173" width="18" style="862" customWidth="1"/>
    <col min="7174" max="7175" width="16.28515625" style="862" bestFit="1" customWidth="1"/>
    <col min="7176" max="7176" width="14.7109375" style="862" customWidth="1"/>
    <col min="7177" max="7424" width="14.7109375" style="862"/>
    <col min="7425" max="7425" width="5.7109375" style="862" customWidth="1"/>
    <col min="7426" max="7426" width="42.5703125" style="862" customWidth="1"/>
    <col min="7427" max="7427" width="17.28515625" style="862" bestFit="1" customWidth="1"/>
    <col min="7428" max="7428" width="16.85546875" style="862" customWidth="1"/>
    <col min="7429" max="7429" width="18" style="862" customWidth="1"/>
    <col min="7430" max="7431" width="16.28515625" style="862" bestFit="1" customWidth="1"/>
    <col min="7432" max="7432" width="14.7109375" style="862" customWidth="1"/>
    <col min="7433" max="7680" width="14.7109375" style="862"/>
    <col min="7681" max="7681" width="5.7109375" style="862" customWidth="1"/>
    <col min="7682" max="7682" width="42.5703125" style="862" customWidth="1"/>
    <col min="7683" max="7683" width="17.28515625" style="862" bestFit="1" customWidth="1"/>
    <col min="7684" max="7684" width="16.85546875" style="862" customWidth="1"/>
    <col min="7685" max="7685" width="18" style="862" customWidth="1"/>
    <col min="7686" max="7687" width="16.28515625" style="862" bestFit="1" customWidth="1"/>
    <col min="7688" max="7688" width="14.7109375" style="862" customWidth="1"/>
    <col min="7689" max="7936" width="14.7109375" style="862"/>
    <col min="7937" max="7937" width="5.7109375" style="862" customWidth="1"/>
    <col min="7938" max="7938" width="42.5703125" style="862" customWidth="1"/>
    <col min="7939" max="7939" width="17.28515625" style="862" bestFit="1" customWidth="1"/>
    <col min="7940" max="7940" width="16.85546875" style="862" customWidth="1"/>
    <col min="7941" max="7941" width="18" style="862" customWidth="1"/>
    <col min="7942" max="7943" width="16.28515625" style="862" bestFit="1" customWidth="1"/>
    <col min="7944" max="7944" width="14.7109375" style="862" customWidth="1"/>
    <col min="7945" max="8192" width="14.7109375" style="862"/>
    <col min="8193" max="8193" width="5.7109375" style="862" customWidth="1"/>
    <col min="8194" max="8194" width="42.5703125" style="862" customWidth="1"/>
    <col min="8195" max="8195" width="17.28515625" style="862" bestFit="1" customWidth="1"/>
    <col min="8196" max="8196" width="16.85546875" style="862" customWidth="1"/>
    <col min="8197" max="8197" width="18" style="862" customWidth="1"/>
    <col min="8198" max="8199" width="16.28515625" style="862" bestFit="1" customWidth="1"/>
    <col min="8200" max="8200" width="14.7109375" style="862" customWidth="1"/>
    <col min="8201" max="8448" width="14.7109375" style="862"/>
    <col min="8449" max="8449" width="5.7109375" style="862" customWidth="1"/>
    <col min="8450" max="8450" width="42.5703125" style="862" customWidth="1"/>
    <col min="8451" max="8451" width="17.28515625" style="862" bestFit="1" customWidth="1"/>
    <col min="8452" max="8452" width="16.85546875" style="862" customWidth="1"/>
    <col min="8453" max="8453" width="18" style="862" customWidth="1"/>
    <col min="8454" max="8455" width="16.28515625" style="862" bestFit="1" customWidth="1"/>
    <col min="8456" max="8456" width="14.7109375" style="862" customWidth="1"/>
    <col min="8457" max="8704" width="14.7109375" style="862"/>
    <col min="8705" max="8705" width="5.7109375" style="862" customWidth="1"/>
    <col min="8706" max="8706" width="42.5703125" style="862" customWidth="1"/>
    <col min="8707" max="8707" width="17.28515625" style="862" bestFit="1" customWidth="1"/>
    <col min="8708" max="8708" width="16.85546875" style="862" customWidth="1"/>
    <col min="8709" max="8709" width="18" style="862" customWidth="1"/>
    <col min="8710" max="8711" width="16.28515625" style="862" bestFit="1" customWidth="1"/>
    <col min="8712" max="8712" width="14.7109375" style="862" customWidth="1"/>
    <col min="8713" max="8960" width="14.7109375" style="862"/>
    <col min="8961" max="8961" width="5.7109375" style="862" customWidth="1"/>
    <col min="8962" max="8962" width="42.5703125" style="862" customWidth="1"/>
    <col min="8963" max="8963" width="17.28515625" style="862" bestFit="1" customWidth="1"/>
    <col min="8964" max="8964" width="16.85546875" style="862" customWidth="1"/>
    <col min="8965" max="8965" width="18" style="862" customWidth="1"/>
    <col min="8966" max="8967" width="16.28515625" style="862" bestFit="1" customWidth="1"/>
    <col min="8968" max="8968" width="14.7109375" style="862" customWidth="1"/>
    <col min="8969" max="9216" width="14.7109375" style="862"/>
    <col min="9217" max="9217" width="5.7109375" style="862" customWidth="1"/>
    <col min="9218" max="9218" width="42.5703125" style="862" customWidth="1"/>
    <col min="9219" max="9219" width="17.28515625" style="862" bestFit="1" customWidth="1"/>
    <col min="9220" max="9220" width="16.85546875" style="862" customWidth="1"/>
    <col min="9221" max="9221" width="18" style="862" customWidth="1"/>
    <col min="9222" max="9223" width="16.28515625" style="862" bestFit="1" customWidth="1"/>
    <col min="9224" max="9224" width="14.7109375" style="862" customWidth="1"/>
    <col min="9225" max="9472" width="14.7109375" style="862"/>
    <col min="9473" max="9473" width="5.7109375" style="862" customWidth="1"/>
    <col min="9474" max="9474" width="42.5703125" style="862" customWidth="1"/>
    <col min="9475" max="9475" width="17.28515625" style="862" bestFit="1" customWidth="1"/>
    <col min="9476" max="9476" width="16.85546875" style="862" customWidth="1"/>
    <col min="9477" max="9477" width="18" style="862" customWidth="1"/>
    <col min="9478" max="9479" width="16.28515625" style="862" bestFit="1" customWidth="1"/>
    <col min="9480" max="9480" width="14.7109375" style="862" customWidth="1"/>
    <col min="9481" max="9728" width="14.7109375" style="862"/>
    <col min="9729" max="9729" width="5.7109375" style="862" customWidth="1"/>
    <col min="9730" max="9730" width="42.5703125" style="862" customWidth="1"/>
    <col min="9731" max="9731" width="17.28515625" style="862" bestFit="1" customWidth="1"/>
    <col min="9732" max="9732" width="16.85546875" style="862" customWidth="1"/>
    <col min="9733" max="9733" width="18" style="862" customWidth="1"/>
    <col min="9734" max="9735" width="16.28515625" style="862" bestFit="1" customWidth="1"/>
    <col min="9736" max="9736" width="14.7109375" style="862" customWidth="1"/>
    <col min="9737" max="9984" width="14.7109375" style="862"/>
    <col min="9985" max="9985" width="5.7109375" style="862" customWidth="1"/>
    <col min="9986" max="9986" width="42.5703125" style="862" customWidth="1"/>
    <col min="9987" max="9987" width="17.28515625" style="862" bestFit="1" customWidth="1"/>
    <col min="9988" max="9988" width="16.85546875" style="862" customWidth="1"/>
    <col min="9989" max="9989" width="18" style="862" customWidth="1"/>
    <col min="9990" max="9991" width="16.28515625" style="862" bestFit="1" customWidth="1"/>
    <col min="9992" max="9992" width="14.7109375" style="862" customWidth="1"/>
    <col min="9993" max="10240" width="14.7109375" style="862"/>
    <col min="10241" max="10241" width="5.7109375" style="862" customWidth="1"/>
    <col min="10242" max="10242" width="42.5703125" style="862" customWidth="1"/>
    <col min="10243" max="10243" width="17.28515625" style="862" bestFit="1" customWidth="1"/>
    <col min="10244" max="10244" width="16.85546875" style="862" customWidth="1"/>
    <col min="10245" max="10245" width="18" style="862" customWidth="1"/>
    <col min="10246" max="10247" width="16.28515625" style="862" bestFit="1" customWidth="1"/>
    <col min="10248" max="10248" width="14.7109375" style="862" customWidth="1"/>
    <col min="10249" max="10496" width="14.7109375" style="862"/>
    <col min="10497" max="10497" width="5.7109375" style="862" customWidth="1"/>
    <col min="10498" max="10498" width="42.5703125" style="862" customWidth="1"/>
    <col min="10499" max="10499" width="17.28515625" style="862" bestFit="1" customWidth="1"/>
    <col min="10500" max="10500" width="16.85546875" style="862" customWidth="1"/>
    <col min="10501" max="10501" width="18" style="862" customWidth="1"/>
    <col min="10502" max="10503" width="16.28515625" style="862" bestFit="1" customWidth="1"/>
    <col min="10504" max="10504" width="14.7109375" style="862" customWidth="1"/>
    <col min="10505" max="10752" width="14.7109375" style="862"/>
    <col min="10753" max="10753" width="5.7109375" style="862" customWidth="1"/>
    <col min="10754" max="10754" width="42.5703125" style="862" customWidth="1"/>
    <col min="10755" max="10755" width="17.28515625" style="862" bestFit="1" customWidth="1"/>
    <col min="10756" max="10756" width="16.85546875" style="862" customWidth="1"/>
    <col min="10757" max="10757" width="18" style="862" customWidth="1"/>
    <col min="10758" max="10759" width="16.28515625" style="862" bestFit="1" customWidth="1"/>
    <col min="10760" max="10760" width="14.7109375" style="862" customWidth="1"/>
    <col min="10761" max="11008" width="14.7109375" style="862"/>
    <col min="11009" max="11009" width="5.7109375" style="862" customWidth="1"/>
    <col min="11010" max="11010" width="42.5703125" style="862" customWidth="1"/>
    <col min="11011" max="11011" width="17.28515625" style="862" bestFit="1" customWidth="1"/>
    <col min="11012" max="11012" width="16.85546875" style="862" customWidth="1"/>
    <col min="11013" max="11013" width="18" style="862" customWidth="1"/>
    <col min="11014" max="11015" width="16.28515625" style="862" bestFit="1" customWidth="1"/>
    <col min="11016" max="11016" width="14.7109375" style="862" customWidth="1"/>
    <col min="11017" max="11264" width="14.7109375" style="862"/>
    <col min="11265" max="11265" width="5.7109375" style="862" customWidth="1"/>
    <col min="11266" max="11266" width="42.5703125" style="862" customWidth="1"/>
    <col min="11267" max="11267" width="17.28515625" style="862" bestFit="1" customWidth="1"/>
    <col min="11268" max="11268" width="16.85546875" style="862" customWidth="1"/>
    <col min="11269" max="11269" width="18" style="862" customWidth="1"/>
    <col min="11270" max="11271" width="16.28515625" style="862" bestFit="1" customWidth="1"/>
    <col min="11272" max="11272" width="14.7109375" style="862" customWidth="1"/>
    <col min="11273" max="11520" width="14.7109375" style="862"/>
    <col min="11521" max="11521" width="5.7109375" style="862" customWidth="1"/>
    <col min="11522" max="11522" width="42.5703125" style="862" customWidth="1"/>
    <col min="11523" max="11523" width="17.28515625" style="862" bestFit="1" customWidth="1"/>
    <col min="11524" max="11524" width="16.85546875" style="862" customWidth="1"/>
    <col min="11525" max="11525" width="18" style="862" customWidth="1"/>
    <col min="11526" max="11527" width="16.28515625" style="862" bestFit="1" customWidth="1"/>
    <col min="11528" max="11528" width="14.7109375" style="862" customWidth="1"/>
    <col min="11529" max="11776" width="14.7109375" style="862"/>
    <col min="11777" max="11777" width="5.7109375" style="862" customWidth="1"/>
    <col min="11778" max="11778" width="42.5703125" style="862" customWidth="1"/>
    <col min="11779" max="11779" width="17.28515625" style="862" bestFit="1" customWidth="1"/>
    <col min="11780" max="11780" width="16.85546875" style="862" customWidth="1"/>
    <col min="11781" max="11781" width="18" style="862" customWidth="1"/>
    <col min="11782" max="11783" width="16.28515625" style="862" bestFit="1" customWidth="1"/>
    <col min="11784" max="11784" width="14.7109375" style="862" customWidth="1"/>
    <col min="11785" max="12032" width="14.7109375" style="862"/>
    <col min="12033" max="12033" width="5.7109375" style="862" customWidth="1"/>
    <col min="12034" max="12034" width="42.5703125" style="862" customWidth="1"/>
    <col min="12035" max="12035" width="17.28515625" style="862" bestFit="1" customWidth="1"/>
    <col min="12036" max="12036" width="16.85546875" style="862" customWidth="1"/>
    <col min="12037" max="12037" width="18" style="862" customWidth="1"/>
    <col min="12038" max="12039" width="16.28515625" style="862" bestFit="1" customWidth="1"/>
    <col min="12040" max="12040" width="14.7109375" style="862" customWidth="1"/>
    <col min="12041" max="12288" width="14.7109375" style="862"/>
    <col min="12289" max="12289" width="5.7109375" style="862" customWidth="1"/>
    <col min="12290" max="12290" width="42.5703125" style="862" customWidth="1"/>
    <col min="12291" max="12291" width="17.28515625" style="862" bestFit="1" customWidth="1"/>
    <col min="12292" max="12292" width="16.85546875" style="862" customWidth="1"/>
    <col min="12293" max="12293" width="18" style="862" customWidth="1"/>
    <col min="12294" max="12295" width="16.28515625" style="862" bestFit="1" customWidth="1"/>
    <col min="12296" max="12296" width="14.7109375" style="862" customWidth="1"/>
    <col min="12297" max="12544" width="14.7109375" style="862"/>
    <col min="12545" max="12545" width="5.7109375" style="862" customWidth="1"/>
    <col min="12546" max="12546" width="42.5703125" style="862" customWidth="1"/>
    <col min="12547" max="12547" width="17.28515625" style="862" bestFit="1" customWidth="1"/>
    <col min="12548" max="12548" width="16.85546875" style="862" customWidth="1"/>
    <col min="12549" max="12549" width="18" style="862" customWidth="1"/>
    <col min="12550" max="12551" width="16.28515625" style="862" bestFit="1" customWidth="1"/>
    <col min="12552" max="12552" width="14.7109375" style="862" customWidth="1"/>
    <col min="12553" max="12800" width="14.7109375" style="862"/>
    <col min="12801" max="12801" width="5.7109375" style="862" customWidth="1"/>
    <col min="12802" max="12802" width="42.5703125" style="862" customWidth="1"/>
    <col min="12803" max="12803" width="17.28515625" style="862" bestFit="1" customWidth="1"/>
    <col min="12804" max="12804" width="16.85546875" style="862" customWidth="1"/>
    <col min="12805" max="12805" width="18" style="862" customWidth="1"/>
    <col min="12806" max="12807" width="16.28515625" style="862" bestFit="1" customWidth="1"/>
    <col min="12808" max="12808" width="14.7109375" style="862" customWidth="1"/>
    <col min="12809" max="13056" width="14.7109375" style="862"/>
    <col min="13057" max="13057" width="5.7109375" style="862" customWidth="1"/>
    <col min="13058" max="13058" width="42.5703125" style="862" customWidth="1"/>
    <col min="13059" max="13059" width="17.28515625" style="862" bestFit="1" customWidth="1"/>
    <col min="13060" max="13060" width="16.85546875" style="862" customWidth="1"/>
    <col min="13061" max="13061" width="18" style="862" customWidth="1"/>
    <col min="13062" max="13063" width="16.28515625" style="862" bestFit="1" customWidth="1"/>
    <col min="13064" max="13064" width="14.7109375" style="862" customWidth="1"/>
    <col min="13065" max="13312" width="14.7109375" style="862"/>
    <col min="13313" max="13313" width="5.7109375" style="862" customWidth="1"/>
    <col min="13314" max="13314" width="42.5703125" style="862" customWidth="1"/>
    <col min="13315" max="13315" width="17.28515625" style="862" bestFit="1" customWidth="1"/>
    <col min="13316" max="13316" width="16.85546875" style="862" customWidth="1"/>
    <col min="13317" max="13317" width="18" style="862" customWidth="1"/>
    <col min="13318" max="13319" width="16.28515625" style="862" bestFit="1" customWidth="1"/>
    <col min="13320" max="13320" width="14.7109375" style="862" customWidth="1"/>
    <col min="13321" max="13568" width="14.7109375" style="862"/>
    <col min="13569" max="13569" width="5.7109375" style="862" customWidth="1"/>
    <col min="13570" max="13570" width="42.5703125" style="862" customWidth="1"/>
    <col min="13571" max="13571" width="17.28515625" style="862" bestFit="1" customWidth="1"/>
    <col min="13572" max="13572" width="16.85546875" style="862" customWidth="1"/>
    <col min="13573" max="13573" width="18" style="862" customWidth="1"/>
    <col min="13574" max="13575" width="16.28515625" style="862" bestFit="1" customWidth="1"/>
    <col min="13576" max="13576" width="14.7109375" style="862" customWidth="1"/>
    <col min="13577" max="13824" width="14.7109375" style="862"/>
    <col min="13825" max="13825" width="5.7109375" style="862" customWidth="1"/>
    <col min="13826" max="13826" width="42.5703125" style="862" customWidth="1"/>
    <col min="13827" max="13827" width="17.28515625" style="862" bestFit="1" customWidth="1"/>
    <col min="13828" max="13828" width="16.85546875" style="862" customWidth="1"/>
    <col min="13829" max="13829" width="18" style="862" customWidth="1"/>
    <col min="13830" max="13831" width="16.28515625" style="862" bestFit="1" customWidth="1"/>
    <col min="13832" max="13832" width="14.7109375" style="862" customWidth="1"/>
    <col min="13833" max="14080" width="14.7109375" style="862"/>
    <col min="14081" max="14081" width="5.7109375" style="862" customWidth="1"/>
    <col min="14082" max="14082" width="42.5703125" style="862" customWidth="1"/>
    <col min="14083" max="14083" width="17.28515625" style="862" bestFit="1" customWidth="1"/>
    <col min="14084" max="14084" width="16.85546875" style="862" customWidth="1"/>
    <col min="14085" max="14085" width="18" style="862" customWidth="1"/>
    <col min="14086" max="14087" width="16.28515625" style="862" bestFit="1" customWidth="1"/>
    <col min="14088" max="14088" width="14.7109375" style="862" customWidth="1"/>
    <col min="14089" max="14336" width="14.7109375" style="862"/>
    <col min="14337" max="14337" width="5.7109375" style="862" customWidth="1"/>
    <col min="14338" max="14338" width="42.5703125" style="862" customWidth="1"/>
    <col min="14339" max="14339" width="17.28515625" style="862" bestFit="1" customWidth="1"/>
    <col min="14340" max="14340" width="16.85546875" style="862" customWidth="1"/>
    <col min="14341" max="14341" width="18" style="862" customWidth="1"/>
    <col min="14342" max="14343" width="16.28515625" style="862" bestFit="1" customWidth="1"/>
    <col min="14344" max="14344" width="14.7109375" style="862" customWidth="1"/>
    <col min="14345" max="14592" width="14.7109375" style="862"/>
    <col min="14593" max="14593" width="5.7109375" style="862" customWidth="1"/>
    <col min="14594" max="14594" width="42.5703125" style="862" customWidth="1"/>
    <col min="14595" max="14595" width="17.28515625" style="862" bestFit="1" customWidth="1"/>
    <col min="14596" max="14596" width="16.85546875" style="862" customWidth="1"/>
    <col min="14597" max="14597" width="18" style="862" customWidth="1"/>
    <col min="14598" max="14599" width="16.28515625" style="862" bestFit="1" customWidth="1"/>
    <col min="14600" max="14600" width="14.7109375" style="862" customWidth="1"/>
    <col min="14601" max="14848" width="14.7109375" style="862"/>
    <col min="14849" max="14849" width="5.7109375" style="862" customWidth="1"/>
    <col min="14850" max="14850" width="42.5703125" style="862" customWidth="1"/>
    <col min="14851" max="14851" width="17.28515625" style="862" bestFit="1" customWidth="1"/>
    <col min="14852" max="14852" width="16.85546875" style="862" customWidth="1"/>
    <col min="14853" max="14853" width="18" style="862" customWidth="1"/>
    <col min="14854" max="14855" width="16.28515625" style="862" bestFit="1" customWidth="1"/>
    <col min="14856" max="14856" width="14.7109375" style="862" customWidth="1"/>
    <col min="14857" max="15104" width="14.7109375" style="862"/>
    <col min="15105" max="15105" width="5.7109375" style="862" customWidth="1"/>
    <col min="15106" max="15106" width="42.5703125" style="862" customWidth="1"/>
    <col min="15107" max="15107" width="17.28515625" style="862" bestFit="1" customWidth="1"/>
    <col min="15108" max="15108" width="16.85546875" style="862" customWidth="1"/>
    <col min="15109" max="15109" width="18" style="862" customWidth="1"/>
    <col min="15110" max="15111" width="16.28515625" style="862" bestFit="1" customWidth="1"/>
    <col min="15112" max="15112" width="14.7109375" style="862" customWidth="1"/>
    <col min="15113" max="15360" width="14.7109375" style="862"/>
    <col min="15361" max="15361" width="5.7109375" style="862" customWidth="1"/>
    <col min="15362" max="15362" width="42.5703125" style="862" customWidth="1"/>
    <col min="15363" max="15363" width="17.28515625" style="862" bestFit="1" customWidth="1"/>
    <col min="15364" max="15364" width="16.85546875" style="862" customWidth="1"/>
    <col min="15365" max="15365" width="18" style="862" customWidth="1"/>
    <col min="15366" max="15367" width="16.28515625" style="862" bestFit="1" customWidth="1"/>
    <col min="15368" max="15368" width="14.7109375" style="862" customWidth="1"/>
    <col min="15369" max="15616" width="14.7109375" style="862"/>
    <col min="15617" max="15617" width="5.7109375" style="862" customWidth="1"/>
    <col min="15618" max="15618" width="42.5703125" style="862" customWidth="1"/>
    <col min="15619" max="15619" width="17.28515625" style="862" bestFit="1" customWidth="1"/>
    <col min="15620" max="15620" width="16.85546875" style="862" customWidth="1"/>
    <col min="15621" max="15621" width="18" style="862" customWidth="1"/>
    <col min="15622" max="15623" width="16.28515625" style="862" bestFit="1" customWidth="1"/>
    <col min="15624" max="15624" width="14.7109375" style="862" customWidth="1"/>
    <col min="15625" max="15872" width="14.7109375" style="862"/>
    <col min="15873" max="15873" width="5.7109375" style="862" customWidth="1"/>
    <col min="15874" max="15874" width="42.5703125" style="862" customWidth="1"/>
    <col min="15875" max="15875" width="17.28515625" style="862" bestFit="1" customWidth="1"/>
    <col min="15876" max="15876" width="16.85546875" style="862" customWidth="1"/>
    <col min="15877" max="15877" width="18" style="862" customWidth="1"/>
    <col min="15878" max="15879" width="16.28515625" style="862" bestFit="1" customWidth="1"/>
    <col min="15880" max="15880" width="14.7109375" style="862" customWidth="1"/>
    <col min="15881" max="16128" width="14.7109375" style="862"/>
    <col min="16129" max="16129" width="5.7109375" style="862" customWidth="1"/>
    <col min="16130" max="16130" width="42.5703125" style="862" customWidth="1"/>
    <col min="16131" max="16131" width="17.28515625" style="862" bestFit="1" customWidth="1"/>
    <col min="16132" max="16132" width="16.85546875" style="862" customWidth="1"/>
    <col min="16133" max="16133" width="18" style="862" customWidth="1"/>
    <col min="16134" max="16135" width="16.28515625" style="862" bestFit="1" customWidth="1"/>
    <col min="16136" max="16136" width="14.7109375" style="862" customWidth="1"/>
    <col min="16137" max="16384" width="14.7109375" style="862"/>
  </cols>
  <sheetData>
    <row r="1" spans="1:7" ht="15.75">
      <c r="A1" s="1005" t="s">
        <v>406</v>
      </c>
    </row>
    <row r="2" spans="1:7" ht="15.75">
      <c r="A2" s="1005" t="s">
        <v>406</v>
      </c>
    </row>
    <row r="3" spans="1:7" ht="19.5">
      <c r="B3" s="1573" t="s">
        <v>321</v>
      </c>
      <c r="C3" s="1573"/>
      <c r="D3" s="1573"/>
      <c r="E3" s="1573"/>
      <c r="F3" s="861"/>
      <c r="G3" s="861"/>
    </row>
    <row r="4" spans="1:7" ht="19.5">
      <c r="B4" s="1573" t="s">
        <v>216</v>
      </c>
      <c r="C4" s="1573"/>
      <c r="D4" s="1573"/>
      <c r="E4" s="1573"/>
      <c r="F4" s="861"/>
      <c r="G4" s="861"/>
    </row>
    <row r="5" spans="1:7" ht="19.5">
      <c r="B5" s="1573" t="s">
        <v>217</v>
      </c>
      <c r="C5" s="1573"/>
      <c r="D5" s="1573"/>
      <c r="E5" s="1573"/>
      <c r="F5" s="861"/>
      <c r="G5" s="861"/>
    </row>
    <row r="6" spans="1:7" ht="19.5">
      <c r="B6" s="1573" t="s">
        <v>218</v>
      </c>
      <c r="C6" s="1573"/>
      <c r="D6" s="1573"/>
      <c r="E6" s="1573"/>
      <c r="F6" s="861"/>
      <c r="G6" s="861"/>
    </row>
    <row r="7" spans="1:7" ht="19.5">
      <c r="B7" s="1574" t="s">
        <v>979</v>
      </c>
      <c r="C7" s="1574"/>
      <c r="D7" s="1574"/>
      <c r="E7" s="1574"/>
      <c r="F7" s="861"/>
      <c r="G7" s="861"/>
    </row>
    <row r="8" spans="1:7" ht="19.5">
      <c r="B8" s="1573"/>
      <c r="C8" s="1573"/>
      <c r="D8" s="1573"/>
      <c r="E8" s="1573"/>
      <c r="F8" s="861"/>
      <c r="G8" s="861"/>
    </row>
    <row r="9" spans="1:7" ht="19.5">
      <c r="B9" s="1568" t="s">
        <v>801</v>
      </c>
      <c r="C9" s="1467"/>
      <c r="D9" s="1467"/>
      <c r="E9" s="1467"/>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1394" t="s">
        <v>894</v>
      </c>
      <c r="C17" s="153">
        <v>351</v>
      </c>
      <c r="D17" s="1327">
        <v>0</v>
      </c>
      <c r="E17" s="871"/>
    </row>
    <row r="18" spans="2:5">
      <c r="B18" s="1395" t="s">
        <v>895</v>
      </c>
      <c r="C18" s="153">
        <v>352</v>
      </c>
      <c r="D18" s="140">
        <v>2.2200000000000001E-2</v>
      </c>
      <c r="E18" s="140"/>
    </row>
    <row r="19" spans="2:5">
      <c r="B19" s="1395" t="s">
        <v>896</v>
      </c>
      <c r="C19" s="153">
        <v>353</v>
      </c>
      <c r="D19" s="140">
        <v>2.75E-2</v>
      </c>
      <c r="E19" s="871"/>
    </row>
    <row r="20" spans="2:5">
      <c r="B20" s="1395" t="s">
        <v>897</v>
      </c>
      <c r="C20" s="153">
        <v>354</v>
      </c>
      <c r="D20" s="140">
        <v>1.6299999999999999E-2</v>
      </c>
      <c r="E20" s="871"/>
    </row>
    <row r="21" spans="2:5">
      <c r="B21" s="1395" t="s">
        <v>898</v>
      </c>
      <c r="C21" s="153">
        <v>355</v>
      </c>
      <c r="D21" s="140">
        <v>3.7199999999999997E-2</v>
      </c>
      <c r="E21" s="140"/>
    </row>
    <row r="22" spans="2:5">
      <c r="B22" s="1395" t="s">
        <v>899</v>
      </c>
      <c r="C22" s="153">
        <v>356</v>
      </c>
      <c r="D22" s="140">
        <v>1.9900000000000001E-2</v>
      </c>
      <c r="E22" s="873"/>
    </row>
    <row r="23" spans="2:5">
      <c r="B23" s="1395" t="s">
        <v>900</v>
      </c>
      <c r="C23" s="153">
        <v>357</v>
      </c>
      <c r="D23" s="140">
        <v>2.4E-2</v>
      </c>
      <c r="E23" s="871"/>
    </row>
    <row r="24" spans="2:5">
      <c r="B24" s="1395" t="s">
        <v>901</v>
      </c>
      <c r="C24" s="153">
        <v>358</v>
      </c>
      <c r="D24" s="140">
        <v>4.6399999999999997E-2</v>
      </c>
      <c r="E24" s="871"/>
    </row>
    <row r="25" spans="2:5">
      <c r="B25" s="872"/>
      <c r="C25" s="153"/>
      <c r="D25" s="140"/>
      <c r="E25" s="871"/>
    </row>
    <row r="26" spans="2:5" ht="15.75" thickBot="1">
      <c r="B26" s="872"/>
      <c r="C26" s="153"/>
      <c r="D26" s="140"/>
      <c r="E26" s="871"/>
    </row>
    <row r="27" spans="2:5">
      <c r="B27" s="867" t="s">
        <v>814</v>
      </c>
      <c r="C27" s="868"/>
      <c r="D27" s="131"/>
      <c r="E27" s="871"/>
    </row>
    <row r="28" spans="2:5">
      <c r="B28" s="872"/>
      <c r="C28" s="153"/>
      <c r="D28" s="140"/>
      <c r="E28" s="871"/>
    </row>
    <row r="29" spans="2:5">
      <c r="B29" s="1395" t="s">
        <v>895</v>
      </c>
      <c r="C29" s="153">
        <v>390</v>
      </c>
      <c r="D29" s="1327">
        <v>2.06E-2</v>
      </c>
      <c r="E29" s="871"/>
    </row>
    <row r="30" spans="2:5">
      <c r="B30" s="1395" t="s">
        <v>902</v>
      </c>
      <c r="C30" s="153">
        <v>391</v>
      </c>
      <c r="D30" s="1327">
        <v>3.2500000000000001E-2</v>
      </c>
      <c r="E30" s="871"/>
    </row>
    <row r="31" spans="2:5">
      <c r="B31" s="1395" t="s">
        <v>903</v>
      </c>
      <c r="C31" s="153">
        <v>392</v>
      </c>
      <c r="D31" s="1327">
        <v>3.4500000000000003E-2</v>
      </c>
      <c r="E31" s="871"/>
    </row>
    <row r="32" spans="2:5">
      <c r="B32" s="1395" t="s">
        <v>812</v>
      </c>
      <c r="C32" s="153">
        <v>393</v>
      </c>
      <c r="D32" s="1327">
        <v>1.78E-2</v>
      </c>
      <c r="E32" s="871"/>
    </row>
    <row r="33" spans="2:5">
      <c r="B33" s="1395" t="s">
        <v>904</v>
      </c>
      <c r="C33" s="153">
        <v>394</v>
      </c>
      <c r="D33" s="1327">
        <v>2.5899999999999999E-2</v>
      </c>
      <c r="E33" s="871"/>
    </row>
    <row r="34" spans="2:5">
      <c r="B34" s="1395" t="s">
        <v>813</v>
      </c>
      <c r="C34" s="153">
        <v>395</v>
      </c>
      <c r="D34" s="1327">
        <v>3.5000000000000003E-2</v>
      </c>
      <c r="E34" s="871"/>
    </row>
    <row r="35" spans="2:5">
      <c r="B35" s="1395" t="s">
        <v>905</v>
      </c>
      <c r="C35" s="153">
        <v>397</v>
      </c>
      <c r="D35" s="1327">
        <v>4.1599999999999998E-2</v>
      </c>
      <c r="E35" s="871"/>
    </row>
    <row r="36" spans="2:5">
      <c r="B36" s="1395" t="s">
        <v>906</v>
      </c>
      <c r="C36" s="153">
        <v>398</v>
      </c>
      <c r="D36" s="1327">
        <v>5.0200000000000009E-2</v>
      </c>
      <c r="E36" s="871"/>
    </row>
    <row r="37" spans="2:5">
      <c r="B37" s="872"/>
      <c r="C37" s="153"/>
      <c r="D37" s="140">
        <v>2.7099999999999999E-2</v>
      </c>
      <c r="E37" s="871"/>
    </row>
    <row r="38" spans="2:5" ht="64.900000000000006" customHeight="1">
      <c r="B38" s="1569" t="s">
        <v>980</v>
      </c>
      <c r="C38" s="1570"/>
      <c r="D38" s="1570"/>
      <c r="E38" s="1570"/>
    </row>
    <row r="39" spans="2:5">
      <c r="B39" s="874"/>
      <c r="C39" s="875"/>
      <c r="D39" s="875"/>
      <c r="E39" s="875"/>
    </row>
    <row r="40" spans="2:5" ht="15.75">
      <c r="B40" s="876" t="s">
        <v>64</v>
      </c>
      <c r="C40" s="877" t="s">
        <v>614</v>
      </c>
      <c r="D40" s="877" t="s">
        <v>615</v>
      </c>
      <c r="E40" s="878" t="s">
        <v>537</v>
      </c>
    </row>
    <row r="41" spans="2:5">
      <c r="B41" s="879" t="s">
        <v>536</v>
      </c>
      <c r="C41" s="880">
        <v>1811822367</v>
      </c>
      <c r="D41" s="880">
        <v>29740179</v>
      </c>
      <c r="E41" s="881">
        <f>C41+D41</f>
        <v>1841562546</v>
      </c>
    </row>
    <row r="42" spans="2:5">
      <c r="B42" s="879" t="s">
        <v>535</v>
      </c>
      <c r="C42" s="880">
        <v>1752450105</v>
      </c>
      <c r="D42" s="880">
        <v>25887202</v>
      </c>
      <c r="E42" s="881">
        <f>C42+D42</f>
        <v>1778337307</v>
      </c>
    </row>
    <row r="43" spans="2:5">
      <c r="B43" s="879" t="s">
        <v>222</v>
      </c>
      <c r="C43" s="880">
        <f>AVERAGE(C41:C42)</f>
        <v>1782136236</v>
      </c>
      <c r="D43" s="880">
        <f>AVERAGE(D41:D42)</f>
        <v>27813690.5</v>
      </c>
      <c r="E43" s="881">
        <f>C43+D43</f>
        <v>1809949926.5</v>
      </c>
    </row>
    <row r="44" spans="2:5">
      <c r="B44" s="882" t="s">
        <v>538</v>
      </c>
      <c r="C44" s="880">
        <v>29597240</v>
      </c>
      <c r="D44" s="880">
        <v>752928</v>
      </c>
      <c r="E44" s="881">
        <f>C44+D44</f>
        <v>30350168</v>
      </c>
    </row>
    <row r="45" spans="2:5" ht="15.75">
      <c r="B45" s="883" t="s">
        <v>37</v>
      </c>
      <c r="C45" s="884" t="s">
        <v>406</v>
      </c>
      <c r="D45" s="884" t="s">
        <v>406</v>
      </c>
      <c r="E45" s="885">
        <f>E44/E43</f>
        <v>1.6768512518293692E-2</v>
      </c>
    </row>
    <row r="46" spans="2:5">
      <c r="B46" s="886"/>
      <c r="C46" s="887"/>
      <c r="D46" s="886"/>
      <c r="E46" s="886"/>
    </row>
    <row r="47" spans="2:5">
      <c r="B47" s="1571" t="s">
        <v>620</v>
      </c>
      <c r="C47" s="1572"/>
      <c r="D47" s="1572"/>
      <c r="E47" s="1572"/>
    </row>
    <row r="48" spans="2:5">
      <c r="B48" s="1572"/>
      <c r="C48" s="1572"/>
      <c r="D48" s="1572"/>
      <c r="E48" s="1572"/>
    </row>
    <row r="49" spans="2:5" ht="63" customHeight="1">
      <c r="B49" s="1572"/>
      <c r="C49" s="1572"/>
      <c r="D49" s="1572"/>
      <c r="E49" s="1572"/>
    </row>
  </sheetData>
  <mergeCells count="9">
    <mergeCell ref="B9:E9"/>
    <mergeCell ref="B38:E38"/>
    <mergeCell ref="B47:E49"/>
    <mergeCell ref="B3:E3"/>
    <mergeCell ref="B4:E4"/>
    <mergeCell ref="B5:E5"/>
    <mergeCell ref="B6:E6"/>
    <mergeCell ref="B7:E7"/>
    <mergeCell ref="B8:E8"/>
  </mergeCells>
  <conditionalFormatting sqref="B50:E65536 F4:G9 H3:IV10 B3:B9 C4:E8 B11:IV11 F12:IV65536">
    <cfRule type="cellIs" dxfId="3" priority="4" stopIfTrue="1" operator="lessThan">
      <formula>0</formula>
    </cfRule>
  </conditionalFormatting>
  <conditionalFormatting sqref="B12:C23 D46 B38:B44 B24:D26 B46:B47 D12:D13 E12:E37 D15:D23 C40:E40 B28:D37 C45:E45 E41:E44">
    <cfRule type="cellIs" dxfId="2" priority="3" stopIfTrue="1" operator="lessThan">
      <formula>0</formula>
    </cfRule>
  </conditionalFormatting>
  <conditionalFormatting sqref="B27:D27">
    <cfRule type="cellIs" dxfId="1" priority="2" stopIfTrue="1" operator="lessThan">
      <formula>0</formula>
    </cfRule>
  </conditionalFormatting>
  <conditionalFormatting sqref="C41:D44">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B7" sqref="B7"/>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5" t="s">
        <v>406</v>
      </c>
    </row>
    <row r="2" spans="1:10" ht="15.75">
      <c r="A2" s="1005" t="s">
        <v>406</v>
      </c>
    </row>
    <row r="3" spans="1:10" ht="39.6" customHeight="1">
      <c r="A3" s="1576" t="s">
        <v>505</v>
      </c>
      <c r="B3" s="1576"/>
      <c r="C3" s="1576"/>
      <c r="D3" s="1576"/>
      <c r="E3" s="1576"/>
      <c r="F3" s="1576"/>
      <c r="G3" s="1576"/>
      <c r="H3" s="1576"/>
      <c r="I3" s="1576"/>
      <c r="J3" s="1576"/>
    </row>
    <row r="4" spans="1:10">
      <c r="A4" s="1576" t="str">
        <f>"Consolidation of Operating Companies' Capital Structure @ December 31, "&amp;TCOS!L4&amp;""</f>
        <v>Consolidation of Operating Companies' Capital Structure @ December 31, 2025</v>
      </c>
      <c r="B4" s="1576"/>
      <c r="C4" s="1576"/>
      <c r="D4" s="1576"/>
      <c r="E4" s="1576"/>
      <c r="F4" s="1576"/>
      <c r="G4" s="1576"/>
      <c r="H4" s="1576"/>
      <c r="I4" s="1576"/>
      <c r="J4" s="1576"/>
    </row>
    <row r="5" spans="1:10">
      <c r="A5" s="1576" t="s">
        <v>248</v>
      </c>
      <c r="B5" s="1576"/>
      <c r="C5" s="1576"/>
      <c r="D5" s="1576"/>
      <c r="E5" s="1576"/>
      <c r="F5" s="1576"/>
      <c r="G5" s="1576"/>
      <c r="H5" s="1576"/>
      <c r="I5" s="1576"/>
      <c r="J5" s="1576"/>
    </row>
    <row r="6" spans="1:10" ht="17.45" customHeight="1"/>
    <row r="7" spans="1:10" ht="76.5">
      <c r="A7" s="888" t="s">
        <v>459</v>
      </c>
      <c r="C7" s="889" t="s">
        <v>506</v>
      </c>
      <c r="D7" s="889"/>
      <c r="E7" s="889" t="s">
        <v>507</v>
      </c>
      <c r="F7" s="889" t="s">
        <v>508</v>
      </c>
      <c r="G7" s="889" t="s">
        <v>509</v>
      </c>
      <c r="H7" s="889" t="s">
        <v>510</v>
      </c>
      <c r="I7" s="889" t="s">
        <v>511</v>
      </c>
      <c r="J7" s="889" t="s">
        <v>512</v>
      </c>
    </row>
    <row r="8" spans="1:10" ht="15">
      <c r="A8" s="847" t="s">
        <v>513</v>
      </c>
    </row>
    <row r="9" spans="1:10">
      <c r="A9" s="888">
        <v>1</v>
      </c>
      <c r="B9" s="851" t="s">
        <v>338</v>
      </c>
      <c r="C9" s="854"/>
      <c r="D9" s="854"/>
      <c r="E9" s="854"/>
      <c r="F9" s="854"/>
      <c r="G9" s="854"/>
      <c r="H9" s="854"/>
      <c r="I9" s="854"/>
      <c r="J9" s="834">
        <f>SUM(C9:I9)</f>
        <v>0</v>
      </c>
    </row>
    <row r="10" spans="1:10">
      <c r="A10" s="888">
        <f>A9+1</f>
        <v>2</v>
      </c>
      <c r="B10" s="851" t="s">
        <v>339</v>
      </c>
      <c r="C10" s="854"/>
      <c r="D10" s="854"/>
      <c r="E10" s="854"/>
      <c r="F10" s="854"/>
      <c r="G10" s="854"/>
      <c r="H10" s="854"/>
      <c r="I10" s="854"/>
      <c r="J10" s="834">
        <f>SUM(C10:I10)</f>
        <v>0</v>
      </c>
    </row>
    <row r="11" spans="1:10">
      <c r="A11" s="888">
        <f>A10+1</f>
        <v>3</v>
      </c>
      <c r="B11" s="852" t="s">
        <v>23</v>
      </c>
      <c r="C11" s="854"/>
      <c r="D11" s="854"/>
      <c r="E11" s="854"/>
      <c r="F11" s="854"/>
      <c r="G11" s="854"/>
      <c r="H11" s="854"/>
      <c r="I11" s="854"/>
      <c r="J11" s="834">
        <f>SUM(C11:I11)</f>
        <v>0</v>
      </c>
    </row>
    <row r="12" spans="1:10">
      <c r="A12" s="888">
        <f>A11+1</f>
        <v>4</v>
      </c>
      <c r="B12" s="852" t="s">
        <v>17</v>
      </c>
      <c r="C12" s="854"/>
      <c r="D12" s="854"/>
      <c r="E12" s="854"/>
      <c r="F12" s="854"/>
      <c r="G12" s="854"/>
      <c r="H12" s="854"/>
      <c r="I12" s="854"/>
      <c r="J12" s="834">
        <f>SUM(C12:I12)</f>
        <v>0</v>
      </c>
    </row>
    <row r="13" spans="1:10">
      <c r="A13" s="888">
        <f>A12+1</f>
        <v>5</v>
      </c>
      <c r="B13" s="852"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3"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75" t="s">
        <v>545</v>
      </c>
      <c r="C16" s="1575"/>
      <c r="D16" s="1575"/>
      <c r="E16" s="1575"/>
      <c r="F16" s="1575"/>
      <c r="G16" s="1575"/>
      <c r="H16" s="1575"/>
      <c r="I16" s="1575"/>
      <c r="J16" s="1575"/>
    </row>
    <row r="17" spans="1:10" ht="12.75" customHeight="1">
      <c r="B17" s="892"/>
      <c r="C17" s="892"/>
      <c r="D17" s="892"/>
      <c r="E17" s="892"/>
      <c r="F17" s="892"/>
      <c r="G17" s="892"/>
      <c r="H17" s="892"/>
      <c r="I17" s="892"/>
      <c r="J17" s="892"/>
    </row>
    <row r="18" spans="1:10" ht="15">
      <c r="A18" s="847" t="s">
        <v>514</v>
      </c>
    </row>
    <row r="19" spans="1:10">
      <c r="A19" s="888">
        <f>A16+1</f>
        <v>8</v>
      </c>
      <c r="B19" s="851" t="s">
        <v>340</v>
      </c>
      <c r="C19" s="146"/>
      <c r="D19" s="146"/>
      <c r="E19" s="146"/>
      <c r="F19" s="146"/>
      <c r="G19" s="146"/>
      <c r="H19" s="146"/>
      <c r="I19" s="146"/>
      <c r="J19" s="489">
        <f t="shared" ref="J19:J24" si="1">SUM(C19:I19)</f>
        <v>0</v>
      </c>
    </row>
    <row r="20" spans="1:10">
      <c r="A20" s="888">
        <f t="shared" ref="A20:A25" si="2">A19+1</f>
        <v>9</v>
      </c>
      <c r="B20" s="851" t="s">
        <v>333</v>
      </c>
      <c r="C20" s="146"/>
      <c r="D20" s="146"/>
      <c r="E20" s="146"/>
      <c r="F20" s="146"/>
      <c r="G20" s="146"/>
      <c r="H20" s="146"/>
      <c r="I20" s="146"/>
      <c r="J20" s="489">
        <f t="shared" si="1"/>
        <v>0</v>
      </c>
    </row>
    <row r="21" spans="1:10">
      <c r="A21" s="888">
        <f t="shared" si="2"/>
        <v>10</v>
      </c>
      <c r="B21" s="851" t="s">
        <v>334</v>
      </c>
      <c r="C21" s="146"/>
      <c r="D21" s="146"/>
      <c r="E21" s="146"/>
      <c r="F21" s="146"/>
      <c r="G21" s="146"/>
      <c r="H21" s="146"/>
      <c r="I21" s="146"/>
      <c r="J21" s="489">
        <f t="shared" si="1"/>
        <v>0</v>
      </c>
    </row>
    <row r="22" spans="1:10">
      <c r="A22" s="888">
        <f t="shared" si="2"/>
        <v>11</v>
      </c>
      <c r="B22" s="851" t="s">
        <v>335</v>
      </c>
      <c r="C22" s="854"/>
      <c r="D22" s="854"/>
      <c r="E22" s="854"/>
      <c r="F22" s="854"/>
      <c r="G22" s="854"/>
      <c r="H22" s="854"/>
      <c r="I22" s="854"/>
      <c r="J22" s="834">
        <f t="shared" si="1"/>
        <v>0</v>
      </c>
    </row>
    <row r="23" spans="1:10">
      <c r="A23" s="888">
        <f t="shared" si="2"/>
        <v>12</v>
      </c>
      <c r="B23" s="851" t="s">
        <v>336</v>
      </c>
      <c r="C23" s="854"/>
      <c r="D23" s="854"/>
      <c r="E23" s="854"/>
      <c r="F23" s="854"/>
      <c r="G23" s="854"/>
      <c r="H23" s="854"/>
      <c r="I23" s="854"/>
      <c r="J23" s="834">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7" t="s">
        <v>516</v>
      </c>
      <c r="B27" s="896"/>
      <c r="C27" s="896"/>
      <c r="D27" s="896"/>
      <c r="E27" s="896"/>
    </row>
    <row r="28" spans="1:10">
      <c r="A28" s="888">
        <f>A25+1</f>
        <v>15</v>
      </c>
      <c r="B28" s="850" t="s">
        <v>517</v>
      </c>
      <c r="C28" s="855"/>
      <c r="D28" s="917"/>
      <c r="E28" s="918"/>
      <c r="F28" s="917"/>
      <c r="G28" s="917"/>
      <c r="H28" s="855"/>
      <c r="I28" s="917"/>
      <c r="J28" s="897"/>
    </row>
    <row r="29" spans="1:10">
      <c r="A29" s="888">
        <f>A28+1</f>
        <v>16</v>
      </c>
      <c r="B29" s="850" t="s">
        <v>518</v>
      </c>
      <c r="C29" s="856"/>
      <c r="D29" s="919"/>
      <c r="E29" s="856"/>
      <c r="F29" s="919"/>
      <c r="G29" s="919"/>
      <c r="H29" s="856"/>
      <c r="I29" s="919"/>
      <c r="J29" s="898"/>
    </row>
    <row r="30" spans="1:10">
      <c r="A30" s="888">
        <f>A29+1</f>
        <v>17</v>
      </c>
      <c r="B30" s="850" t="s">
        <v>519</v>
      </c>
      <c r="C30" s="146"/>
      <c r="D30" s="920"/>
      <c r="E30" s="146"/>
      <c r="F30" s="920"/>
      <c r="G30" s="920"/>
      <c r="H30" s="146"/>
      <c r="I30" s="920"/>
    </row>
    <row r="31" spans="1:10">
      <c r="A31" s="888">
        <f>A30+1</f>
        <v>18</v>
      </c>
      <c r="B31" s="850"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95">
        <f>SUM(C31:I31)</f>
        <v>0</v>
      </c>
    </row>
    <row r="32" spans="1:10">
      <c r="A32" s="888">
        <f>A31+1</f>
        <v>19</v>
      </c>
      <c r="B32" s="850"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95">
        <f>SUM(C32:I32)</f>
        <v>0</v>
      </c>
    </row>
    <row r="34" spans="1:10">
      <c r="A34" s="888">
        <f>A32+1</f>
        <v>20</v>
      </c>
      <c r="B34" s="850" t="s">
        <v>517</v>
      </c>
      <c r="C34" s="855"/>
      <c r="D34" s="917"/>
      <c r="E34" s="918"/>
      <c r="F34" s="917"/>
      <c r="G34" s="917"/>
      <c r="H34" s="855"/>
      <c r="I34" s="917"/>
    </row>
    <row r="35" spans="1:10">
      <c r="A35" s="888">
        <f>A34+1</f>
        <v>21</v>
      </c>
      <c r="B35" s="850" t="s">
        <v>518</v>
      </c>
      <c r="C35" s="856"/>
      <c r="D35" s="919"/>
      <c r="E35" s="856"/>
      <c r="F35" s="919"/>
      <c r="G35" s="919"/>
      <c r="H35" s="856"/>
      <c r="I35" s="919"/>
    </row>
    <row r="36" spans="1:10">
      <c r="A36" s="888">
        <f>A35+1</f>
        <v>22</v>
      </c>
      <c r="B36" s="850" t="s">
        <v>519</v>
      </c>
      <c r="C36" s="146"/>
      <c r="D36" s="920"/>
      <c r="E36" s="146"/>
      <c r="F36" s="920"/>
      <c r="G36" s="920"/>
      <c r="H36" s="146"/>
      <c r="I36" s="920"/>
    </row>
    <row r="37" spans="1:10">
      <c r="A37" s="888">
        <f>A36+1</f>
        <v>23</v>
      </c>
      <c r="B37" s="850"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95">
        <f>SUM(C37:I37)</f>
        <v>0</v>
      </c>
    </row>
    <row r="38" spans="1:10">
      <c r="A38" s="888">
        <f>A37+1</f>
        <v>24</v>
      </c>
      <c r="B38" s="850"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95">
        <f>SUM(C38:I38)</f>
        <v>0</v>
      </c>
    </row>
    <row r="40" spans="1:10">
      <c r="A40" s="888">
        <f>A38+1</f>
        <v>25</v>
      </c>
      <c r="B40" s="850" t="s">
        <v>517</v>
      </c>
      <c r="C40" s="855"/>
      <c r="D40" s="917"/>
      <c r="E40" s="918"/>
      <c r="F40" s="917"/>
      <c r="G40" s="917"/>
      <c r="H40" s="855"/>
      <c r="I40" s="917"/>
    </row>
    <row r="41" spans="1:10">
      <c r="A41" s="888">
        <f>A40+1</f>
        <v>26</v>
      </c>
      <c r="B41" s="850" t="s">
        <v>518</v>
      </c>
      <c r="C41" s="856"/>
      <c r="D41" s="919"/>
      <c r="E41" s="856"/>
      <c r="F41" s="919"/>
      <c r="G41" s="919"/>
      <c r="H41" s="856"/>
      <c r="I41" s="919"/>
    </row>
    <row r="42" spans="1:10">
      <c r="A42" s="888">
        <f>A41+1</f>
        <v>27</v>
      </c>
      <c r="B42" s="850" t="s">
        <v>519</v>
      </c>
      <c r="C42" s="146"/>
      <c r="D42" s="920"/>
      <c r="E42" s="146"/>
      <c r="F42" s="920"/>
      <c r="G42" s="920"/>
      <c r="H42" s="146"/>
      <c r="I42" s="920"/>
    </row>
    <row r="43" spans="1:10">
      <c r="A43" s="888">
        <f>A42+1</f>
        <v>28</v>
      </c>
      <c r="B43" s="850"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95">
        <f>SUM(C43:I43)</f>
        <v>0</v>
      </c>
    </row>
    <row r="44" spans="1:10">
      <c r="A44" s="888">
        <f>A43+1</f>
        <v>29</v>
      </c>
      <c r="B44" s="850"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95">
        <f>SUM(C44:I44)</f>
        <v>0</v>
      </c>
    </row>
    <row r="46" spans="1:10">
      <c r="A46" s="888">
        <f>A44+1</f>
        <v>30</v>
      </c>
      <c r="B46" s="850" t="s">
        <v>517</v>
      </c>
      <c r="C46" s="855"/>
      <c r="D46" s="917"/>
      <c r="E46" s="918"/>
      <c r="F46" s="917"/>
      <c r="G46" s="917"/>
      <c r="H46" s="855"/>
      <c r="I46" s="917"/>
    </row>
    <row r="47" spans="1:10">
      <c r="A47" s="888">
        <f>A46+1</f>
        <v>31</v>
      </c>
      <c r="B47" s="850" t="s">
        <v>518</v>
      </c>
      <c r="C47" s="856"/>
      <c r="D47" s="919"/>
      <c r="E47" s="856"/>
      <c r="F47" s="919"/>
      <c r="G47" s="919"/>
      <c r="H47" s="856"/>
      <c r="I47" s="919"/>
    </row>
    <row r="48" spans="1:10">
      <c r="A48" s="888">
        <f>A47+1</f>
        <v>32</v>
      </c>
      <c r="B48" s="850" t="s">
        <v>519</v>
      </c>
      <c r="C48" s="146"/>
      <c r="D48" s="920"/>
      <c r="E48" s="146"/>
      <c r="F48" s="920"/>
      <c r="G48" s="920"/>
      <c r="H48" s="146"/>
      <c r="I48" s="920"/>
    </row>
    <row r="49" spans="1:10">
      <c r="A49" s="888">
        <f>A48+1</f>
        <v>33</v>
      </c>
      <c r="B49" s="850"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95">
        <f>SUM(C49:I49)</f>
        <v>0</v>
      </c>
    </row>
    <row r="50" spans="1:10">
      <c r="A50" s="888">
        <f>A49+1</f>
        <v>34</v>
      </c>
      <c r="B50" s="850"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95">
        <f>SUM(C50:I50)</f>
        <v>0</v>
      </c>
    </row>
    <row r="51" spans="1:10">
      <c r="B51" s="850"/>
    </row>
    <row r="52" spans="1:10">
      <c r="A52" s="888">
        <f>A50+1</f>
        <v>35</v>
      </c>
      <c r="B52" s="848"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8"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7" t="s">
        <v>520</v>
      </c>
    </row>
    <row r="56" spans="1:10">
      <c r="A56" s="888">
        <f>A53+1</f>
        <v>37</v>
      </c>
      <c r="B56" s="666" t="s">
        <v>521</v>
      </c>
      <c r="C56" s="146"/>
      <c r="D56" s="146"/>
      <c r="E56" s="146"/>
      <c r="F56" s="146"/>
      <c r="G56" s="146"/>
      <c r="H56" s="146"/>
      <c r="I56" s="146"/>
      <c r="J56" s="895">
        <f>SUM(C56:I56)</f>
        <v>0</v>
      </c>
    </row>
    <row r="57" spans="1:10">
      <c r="A57" s="888">
        <f>A56+1</f>
        <v>38</v>
      </c>
      <c r="B57" s="666"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95">
        <f>SUM(C57:I57)</f>
        <v>0</v>
      </c>
    </row>
    <row r="58" spans="1:10">
      <c r="A58" s="888">
        <f>A57+1</f>
        <v>39</v>
      </c>
      <c r="B58" s="666" t="s">
        <v>522</v>
      </c>
      <c r="C58" s="854"/>
      <c r="D58" s="854"/>
      <c r="E58" s="854"/>
      <c r="F58" s="854"/>
      <c r="G58" s="854"/>
      <c r="H58" s="854"/>
      <c r="I58" s="854"/>
      <c r="J58" s="895">
        <f>SUM(C58:I58)</f>
        <v>0</v>
      </c>
    </row>
    <row r="59" spans="1:10">
      <c r="A59" s="888">
        <f>A58+1</f>
        <v>40</v>
      </c>
      <c r="B59" s="666" t="s">
        <v>523</v>
      </c>
      <c r="C59" s="147"/>
      <c r="D59" s="147"/>
      <c r="E59" s="147"/>
      <c r="F59" s="147"/>
      <c r="G59" s="147"/>
      <c r="H59" s="147"/>
      <c r="I59" s="147"/>
      <c r="J59" s="900">
        <f>SUM(C59:I59)</f>
        <v>0</v>
      </c>
    </row>
    <row r="60" spans="1:10">
      <c r="A60" s="888">
        <f>A59+1</f>
        <v>41</v>
      </c>
      <c r="B60" s="849" t="s">
        <v>524</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525</v>
      </c>
    </row>
    <row r="63" spans="1:10">
      <c r="A63" s="888">
        <f>A60+1</f>
        <v>42</v>
      </c>
      <c r="B63" s="468"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8"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8"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8"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8"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8"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8"/>
      <c r="C71" s="903"/>
      <c r="D71" s="903"/>
      <c r="E71" s="903"/>
      <c r="F71" s="903"/>
      <c r="G71" s="903"/>
      <c r="H71" s="903"/>
      <c r="I71" s="903"/>
      <c r="J71" s="903"/>
    </row>
    <row r="72" spans="1:10">
      <c r="A72" s="902">
        <f>A70+1</f>
        <v>49</v>
      </c>
      <c r="B72" s="848" t="s">
        <v>556</v>
      </c>
      <c r="C72" s="904"/>
      <c r="D72" s="904"/>
      <c r="E72" s="904"/>
      <c r="F72" s="904"/>
      <c r="G72" s="904"/>
      <c r="H72" s="904"/>
      <c r="I72" s="904"/>
      <c r="J72" s="904"/>
    </row>
    <row r="73" spans="1:10">
      <c r="A73" s="902"/>
      <c r="B73" s="468"/>
      <c r="C73" s="903"/>
      <c r="D73" s="903"/>
      <c r="E73" s="903"/>
      <c r="F73" s="903"/>
      <c r="G73" s="903"/>
      <c r="H73" s="903"/>
      <c r="I73" s="903"/>
      <c r="J73" s="903"/>
    </row>
    <row r="74" spans="1:10">
      <c r="A74" s="902">
        <f>A72+1</f>
        <v>50</v>
      </c>
      <c r="B74" s="848" t="s">
        <v>556</v>
      </c>
      <c r="C74" s="903"/>
      <c r="D74" s="903"/>
      <c r="E74" s="903"/>
      <c r="F74" s="903"/>
      <c r="G74" s="903"/>
      <c r="H74" s="903"/>
      <c r="I74" s="903"/>
      <c r="J74" s="903"/>
    </row>
    <row r="75" spans="1:10">
      <c r="A75" s="902">
        <f>A74+1</f>
        <v>51</v>
      </c>
      <c r="B75" s="848" t="s">
        <v>556</v>
      </c>
      <c r="C75" s="903"/>
      <c r="D75" s="903"/>
      <c r="E75" s="903"/>
      <c r="F75" s="903"/>
      <c r="G75" s="903"/>
      <c r="H75" s="903"/>
      <c r="I75" s="903"/>
      <c r="J75" s="903"/>
    </row>
    <row r="76" spans="1:10">
      <c r="A76" s="902">
        <f>A75+1</f>
        <v>52</v>
      </c>
      <c r="B76" s="848" t="s">
        <v>556</v>
      </c>
      <c r="C76" s="903"/>
      <c r="D76" s="903"/>
      <c r="E76" s="903"/>
      <c r="F76" s="903"/>
      <c r="G76" s="903"/>
      <c r="H76" s="903"/>
      <c r="I76" s="903"/>
      <c r="J76" s="903"/>
    </row>
    <row r="77" spans="1:10">
      <c r="B77" s="468"/>
      <c r="C77" s="901"/>
      <c r="D77" s="901"/>
      <c r="E77" s="901"/>
      <c r="F77" s="901"/>
      <c r="G77" s="901"/>
      <c r="H77" s="901"/>
      <c r="I77" s="901"/>
      <c r="J77" s="901"/>
    </row>
    <row r="78" spans="1:10" ht="15">
      <c r="A78" s="847" t="s">
        <v>527</v>
      </c>
    </row>
    <row r="79" spans="1:10">
      <c r="A79" s="888">
        <f>A76+1</f>
        <v>53</v>
      </c>
      <c r="B79" s="468"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8"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8" t="s">
        <v>528</v>
      </c>
      <c r="C81" s="901">
        <v>0.1149</v>
      </c>
      <c r="D81" s="901"/>
      <c r="E81" s="901">
        <v>0.1149</v>
      </c>
      <c r="F81" s="901">
        <v>0.1149</v>
      </c>
      <c r="G81" s="901">
        <v>0.1149</v>
      </c>
      <c r="H81" s="901">
        <v>0.1149</v>
      </c>
      <c r="I81" s="901">
        <v>0.1149</v>
      </c>
      <c r="J81" s="901">
        <v>0.1149</v>
      </c>
    </row>
    <row r="83" spans="1:10" ht="15">
      <c r="A83" s="847" t="s">
        <v>529</v>
      </c>
    </row>
    <row r="84" spans="1:10">
      <c r="A84" s="888">
        <f>A81+1</f>
        <v>56</v>
      </c>
      <c r="B84" s="468"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8"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8"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76" t="s">
        <v>505</v>
      </c>
      <c r="B90" s="1576"/>
      <c r="C90" s="1576"/>
      <c r="D90" s="1576"/>
      <c r="E90" s="1576"/>
      <c r="F90" s="1576"/>
      <c r="G90" s="1576"/>
      <c r="H90" s="1576"/>
      <c r="I90" s="1576"/>
      <c r="J90" s="1576"/>
    </row>
    <row r="91" spans="1:10">
      <c r="A91" s="1576" t="str">
        <f>"Consolidation of Operating Companies' Capital Structure @ December 31, "&amp;TCOS!L4-1&amp;""</f>
        <v>Consolidation of Operating Companies' Capital Structure @ December 31, 2024</v>
      </c>
      <c r="B91" s="1576"/>
      <c r="C91" s="1576"/>
      <c r="D91" s="1576"/>
      <c r="E91" s="1576"/>
      <c r="F91" s="1576"/>
      <c r="G91" s="1576"/>
      <c r="H91" s="1576"/>
      <c r="I91" s="1576"/>
      <c r="J91" s="1576"/>
    </row>
    <row r="92" spans="1:10">
      <c r="A92" s="1576" t="s">
        <v>249</v>
      </c>
      <c r="B92" s="1576"/>
      <c r="C92" s="1576"/>
      <c r="D92" s="1576"/>
      <c r="E92" s="1576"/>
      <c r="F92" s="1576"/>
      <c r="G92" s="1576"/>
      <c r="H92" s="1576"/>
      <c r="I92" s="1576"/>
      <c r="J92" s="1576"/>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7" t="s">
        <v>513</v>
      </c>
    </row>
    <row r="96" spans="1:10">
      <c r="A96" s="888">
        <f>A87+1</f>
        <v>60</v>
      </c>
      <c r="B96" s="851" t="s">
        <v>338</v>
      </c>
      <c r="C96" s="854"/>
      <c r="D96" s="854"/>
      <c r="E96" s="854"/>
      <c r="F96" s="854"/>
      <c r="G96" s="854"/>
      <c r="H96" s="854"/>
      <c r="I96" s="854"/>
      <c r="J96" s="834">
        <f>SUM(C96:I96)</f>
        <v>0</v>
      </c>
    </row>
    <row r="97" spans="1:10">
      <c r="A97" s="888">
        <f>A96+1</f>
        <v>61</v>
      </c>
      <c r="B97" s="851" t="s">
        <v>339</v>
      </c>
      <c r="C97" s="854"/>
      <c r="D97" s="854"/>
      <c r="E97" s="854"/>
      <c r="F97" s="854"/>
      <c r="G97" s="854"/>
      <c r="H97" s="854"/>
      <c r="I97" s="854"/>
      <c r="J97" s="834">
        <f>SUM(C97:I97)</f>
        <v>0</v>
      </c>
    </row>
    <row r="98" spans="1:10">
      <c r="A98" s="888">
        <f>A97+1</f>
        <v>62</v>
      </c>
      <c r="B98" s="852" t="s">
        <v>23</v>
      </c>
      <c r="C98" s="854"/>
      <c r="D98" s="854"/>
      <c r="E98" s="854"/>
      <c r="F98" s="854"/>
      <c r="G98" s="854"/>
      <c r="H98" s="854"/>
      <c r="I98" s="854"/>
      <c r="J98" s="834">
        <f>SUM(C98:I98)</f>
        <v>0</v>
      </c>
    </row>
    <row r="99" spans="1:10">
      <c r="A99" s="888">
        <f>A98+1</f>
        <v>63</v>
      </c>
      <c r="B99" s="852" t="s">
        <v>17</v>
      </c>
      <c r="C99" s="854"/>
      <c r="D99" s="854"/>
      <c r="E99" s="854"/>
      <c r="F99" s="854"/>
      <c r="G99" s="854"/>
      <c r="H99" s="854"/>
      <c r="I99" s="854"/>
      <c r="J99" s="834">
        <f>SUM(C99:I99)</f>
        <v>0</v>
      </c>
    </row>
    <row r="100" spans="1:10">
      <c r="A100" s="888">
        <f>A99+1</f>
        <v>64</v>
      </c>
      <c r="B100" s="852"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3"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75" t="s">
        <v>58</v>
      </c>
      <c r="C103" s="1575"/>
      <c r="D103" s="1575"/>
      <c r="E103" s="1575"/>
      <c r="F103" s="1575"/>
      <c r="G103" s="1575"/>
      <c r="H103" s="1575"/>
      <c r="I103" s="1575"/>
      <c r="J103" s="1575"/>
    </row>
    <row r="104" spans="1:10">
      <c r="B104" s="892"/>
      <c r="C104" s="892"/>
      <c r="D104" s="892"/>
      <c r="E104" s="892"/>
      <c r="F104" s="892"/>
      <c r="G104" s="892"/>
      <c r="H104" s="892"/>
      <c r="I104" s="892"/>
      <c r="J104" s="892"/>
    </row>
    <row r="105" spans="1:10" ht="15">
      <c r="A105" s="847" t="s">
        <v>514</v>
      </c>
    </row>
    <row r="106" spans="1:10">
      <c r="A106" s="888">
        <f>A103+1</f>
        <v>67</v>
      </c>
      <c r="B106" s="851" t="s">
        <v>340</v>
      </c>
      <c r="C106" s="146"/>
      <c r="D106" s="146"/>
      <c r="E106" s="146"/>
      <c r="F106" s="146"/>
      <c r="G106" s="146"/>
      <c r="H106" s="146"/>
      <c r="I106" s="146"/>
      <c r="J106" s="489">
        <f t="shared" ref="J106:J111" si="29">SUM(C106:I106)</f>
        <v>0</v>
      </c>
    </row>
    <row r="107" spans="1:10">
      <c r="A107" s="888">
        <f t="shared" ref="A107:A112" si="30">A106+1</f>
        <v>68</v>
      </c>
      <c r="B107" s="851" t="s">
        <v>333</v>
      </c>
      <c r="C107" s="146"/>
      <c r="D107" s="146"/>
      <c r="E107" s="146"/>
      <c r="F107" s="146"/>
      <c r="G107" s="146"/>
      <c r="H107" s="146"/>
      <c r="I107" s="146"/>
      <c r="J107" s="489">
        <f t="shared" si="29"/>
        <v>0</v>
      </c>
    </row>
    <row r="108" spans="1:10">
      <c r="A108" s="888">
        <f t="shared" si="30"/>
        <v>69</v>
      </c>
      <c r="B108" s="851" t="s">
        <v>334</v>
      </c>
      <c r="C108" s="146"/>
      <c r="D108" s="146"/>
      <c r="E108" s="146"/>
      <c r="F108" s="146"/>
      <c r="G108" s="146"/>
      <c r="H108" s="146"/>
      <c r="I108" s="146"/>
      <c r="J108" s="489">
        <f t="shared" si="29"/>
        <v>0</v>
      </c>
    </row>
    <row r="109" spans="1:10">
      <c r="A109" s="888">
        <f t="shared" si="30"/>
        <v>70</v>
      </c>
      <c r="B109" s="851" t="s">
        <v>335</v>
      </c>
      <c r="C109" s="854"/>
      <c r="D109" s="854"/>
      <c r="E109" s="854"/>
      <c r="F109" s="854"/>
      <c r="G109" s="854"/>
      <c r="H109" s="854"/>
      <c r="I109" s="854"/>
      <c r="J109" s="834">
        <f t="shared" si="29"/>
        <v>0</v>
      </c>
    </row>
    <row r="110" spans="1:10">
      <c r="A110" s="888">
        <f t="shared" si="30"/>
        <v>71</v>
      </c>
      <c r="B110" s="851" t="s">
        <v>336</v>
      </c>
      <c r="C110" s="854"/>
      <c r="D110" s="854"/>
      <c r="E110" s="854"/>
      <c r="F110" s="854"/>
      <c r="G110" s="854"/>
      <c r="H110" s="854"/>
      <c r="I110" s="854"/>
      <c r="J110" s="834">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7" t="s">
        <v>516</v>
      </c>
      <c r="B114" s="896"/>
      <c r="C114" s="896"/>
      <c r="D114" s="896"/>
      <c r="E114" s="896"/>
    </row>
    <row r="115" spans="1:10">
      <c r="A115" s="888">
        <f>A112+1</f>
        <v>74</v>
      </c>
      <c r="B115" s="850" t="s">
        <v>517</v>
      </c>
      <c r="C115" s="855"/>
      <c r="D115" s="917"/>
      <c r="E115" s="918"/>
      <c r="F115" s="917"/>
      <c r="G115" s="917"/>
      <c r="H115" s="855"/>
      <c r="I115" s="917"/>
      <c r="J115" s="897"/>
    </row>
    <row r="116" spans="1:10">
      <c r="A116" s="888">
        <f>A115+1</f>
        <v>75</v>
      </c>
      <c r="B116" s="850" t="s">
        <v>518</v>
      </c>
      <c r="C116" s="856"/>
      <c r="D116" s="919"/>
      <c r="E116" s="856"/>
      <c r="F116" s="919"/>
      <c r="G116" s="919"/>
      <c r="H116" s="856"/>
      <c r="I116" s="919"/>
      <c r="J116" s="898"/>
    </row>
    <row r="117" spans="1:10">
      <c r="A117" s="888">
        <f>A116+1</f>
        <v>76</v>
      </c>
      <c r="B117" s="850" t="s">
        <v>519</v>
      </c>
      <c r="C117" s="146"/>
      <c r="D117" s="920"/>
      <c r="E117" s="146"/>
      <c r="F117" s="920"/>
      <c r="G117" s="920"/>
      <c r="H117" s="146"/>
      <c r="I117" s="920"/>
    </row>
    <row r="118" spans="1:10">
      <c r="A118" s="888">
        <f>A117+1</f>
        <v>77</v>
      </c>
      <c r="B118" s="850"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95">
        <f>SUM(C118:I118)</f>
        <v>0</v>
      </c>
    </row>
    <row r="119" spans="1:10">
      <c r="A119" s="888">
        <f>A118+1</f>
        <v>78</v>
      </c>
      <c r="B119" s="850"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95">
        <f>SUM(C119:I119)</f>
        <v>0</v>
      </c>
    </row>
    <row r="121" spans="1:10">
      <c r="A121" s="888">
        <f>A119+1</f>
        <v>79</v>
      </c>
      <c r="B121" s="850" t="s">
        <v>517</v>
      </c>
      <c r="C121" s="855"/>
      <c r="D121" s="917"/>
      <c r="E121" s="918"/>
      <c r="F121" s="917"/>
      <c r="G121" s="917"/>
      <c r="H121" s="855"/>
      <c r="I121" s="917"/>
    </row>
    <row r="122" spans="1:10">
      <c r="A122" s="888">
        <f>A121+1</f>
        <v>80</v>
      </c>
      <c r="B122" s="850" t="s">
        <v>518</v>
      </c>
      <c r="C122" s="856"/>
      <c r="D122" s="919"/>
      <c r="E122" s="856"/>
      <c r="F122" s="919"/>
      <c r="G122" s="919"/>
      <c r="H122" s="856"/>
      <c r="I122" s="919"/>
    </row>
    <row r="123" spans="1:10">
      <c r="A123" s="888">
        <f>A122+1</f>
        <v>81</v>
      </c>
      <c r="B123" s="850" t="s">
        <v>519</v>
      </c>
      <c r="C123" s="146"/>
      <c r="D123" s="920"/>
      <c r="E123" s="146"/>
      <c r="F123" s="920"/>
      <c r="G123" s="920"/>
      <c r="H123" s="146"/>
      <c r="I123" s="920"/>
    </row>
    <row r="124" spans="1:10">
      <c r="A124" s="888">
        <f>A123+1</f>
        <v>82</v>
      </c>
      <c r="B124" s="850"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95">
        <f>SUM(C124:I124)</f>
        <v>0</v>
      </c>
    </row>
    <row r="125" spans="1:10">
      <c r="A125" s="888">
        <f>A124+1</f>
        <v>83</v>
      </c>
      <c r="B125" s="850"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95">
        <f>SUM(C125:I125)</f>
        <v>0</v>
      </c>
    </row>
    <row r="127" spans="1:10">
      <c r="A127" s="888">
        <f>A125+1</f>
        <v>84</v>
      </c>
      <c r="B127" s="850" t="s">
        <v>517</v>
      </c>
      <c r="C127" s="855"/>
      <c r="D127" s="917"/>
      <c r="E127" s="918"/>
      <c r="F127" s="917"/>
      <c r="G127" s="917"/>
      <c r="H127" s="855"/>
      <c r="I127" s="917"/>
    </row>
    <row r="128" spans="1:10">
      <c r="A128" s="888">
        <f>A127+1</f>
        <v>85</v>
      </c>
      <c r="B128" s="850" t="s">
        <v>518</v>
      </c>
      <c r="C128" s="856"/>
      <c r="D128" s="919"/>
      <c r="E128" s="856"/>
      <c r="F128" s="919"/>
      <c r="G128" s="919"/>
      <c r="H128" s="856"/>
      <c r="I128" s="919"/>
    </row>
    <row r="129" spans="1:10">
      <c r="A129" s="888">
        <f>A128+1</f>
        <v>86</v>
      </c>
      <c r="B129" s="850" t="s">
        <v>519</v>
      </c>
      <c r="C129" s="146"/>
      <c r="D129" s="920"/>
      <c r="E129" s="146"/>
      <c r="F129" s="920"/>
      <c r="G129" s="920"/>
      <c r="H129" s="146"/>
      <c r="I129" s="920"/>
    </row>
    <row r="130" spans="1:10">
      <c r="A130" s="888">
        <f>A129+1</f>
        <v>87</v>
      </c>
      <c r="B130" s="850"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95">
        <f>SUM(C130:I130)</f>
        <v>0</v>
      </c>
    </row>
    <row r="131" spans="1:10">
      <c r="A131" s="888">
        <f>A130+1</f>
        <v>88</v>
      </c>
      <c r="B131" s="850"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95">
        <f>SUM(C131:I131)</f>
        <v>0</v>
      </c>
    </row>
    <row r="133" spans="1:10">
      <c r="A133" s="888">
        <f>A131+1</f>
        <v>89</v>
      </c>
      <c r="B133" s="850" t="s">
        <v>517</v>
      </c>
      <c r="C133" s="855"/>
      <c r="D133" s="917"/>
      <c r="E133" s="918"/>
      <c r="F133" s="917"/>
      <c r="G133" s="917"/>
      <c r="H133" s="855"/>
      <c r="I133" s="917"/>
    </row>
    <row r="134" spans="1:10">
      <c r="A134" s="888">
        <f>A133+1</f>
        <v>90</v>
      </c>
      <c r="B134" s="850" t="s">
        <v>518</v>
      </c>
      <c r="C134" s="856"/>
      <c r="D134" s="919"/>
      <c r="E134" s="856"/>
      <c r="F134" s="919"/>
      <c r="G134" s="919"/>
      <c r="H134" s="856"/>
      <c r="I134" s="919"/>
    </row>
    <row r="135" spans="1:10">
      <c r="A135" s="888">
        <f>A134+1</f>
        <v>91</v>
      </c>
      <c r="B135" s="850" t="s">
        <v>519</v>
      </c>
      <c r="C135" s="146"/>
      <c r="D135" s="920"/>
      <c r="E135" s="146"/>
      <c r="F135" s="920"/>
      <c r="G135" s="920"/>
      <c r="H135" s="146"/>
      <c r="I135" s="920"/>
    </row>
    <row r="136" spans="1:10">
      <c r="A136" s="888">
        <f>A135+1</f>
        <v>92</v>
      </c>
      <c r="B136" s="850"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95">
        <f>SUM(C136:I136)</f>
        <v>0</v>
      </c>
    </row>
    <row r="137" spans="1:10">
      <c r="A137" s="888">
        <f>A136+1</f>
        <v>93</v>
      </c>
      <c r="B137" s="850"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95">
        <f>SUM(C137:I137)</f>
        <v>0</v>
      </c>
    </row>
    <row r="138" spans="1:10">
      <c r="B138" s="850"/>
    </row>
    <row r="139" spans="1:10">
      <c r="A139" s="888">
        <f>A137+1</f>
        <v>94</v>
      </c>
      <c r="B139" s="848"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8"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7" t="s">
        <v>520</v>
      </c>
    </row>
    <row r="143" spans="1:10">
      <c r="A143" s="888">
        <f>A140+1</f>
        <v>96</v>
      </c>
      <c r="B143" s="666" t="s">
        <v>521</v>
      </c>
      <c r="C143" s="146"/>
      <c r="D143" s="146"/>
      <c r="E143" s="146"/>
      <c r="F143" s="146"/>
      <c r="G143" s="146"/>
      <c r="H143" s="146"/>
      <c r="I143" s="146"/>
      <c r="J143" s="895">
        <f>SUM(C143:I143)</f>
        <v>0</v>
      </c>
    </row>
    <row r="144" spans="1:10">
      <c r="A144" s="888">
        <f>A143+1</f>
        <v>97</v>
      </c>
      <c r="B144" s="666" t="str">
        <f>"Less: Preferred Stock (Ln "&amp;A139&amp;" Above)"</f>
        <v>Less: Preferred Stock (Ln 94 Above)</v>
      </c>
      <c r="C144" s="489">
        <f>C139</f>
        <v>0</v>
      </c>
      <c r="D144" s="489"/>
      <c r="E144" s="489">
        <f>E139</f>
        <v>0</v>
      </c>
      <c r="F144" s="489">
        <f>F139</f>
        <v>0</v>
      </c>
      <c r="G144" s="489">
        <f>G139</f>
        <v>0</v>
      </c>
      <c r="H144" s="489">
        <f>H139</f>
        <v>0</v>
      </c>
      <c r="I144" s="489">
        <f>I139</f>
        <v>0</v>
      </c>
      <c r="J144" s="895">
        <f>SUM(C144:I144)</f>
        <v>0</v>
      </c>
    </row>
    <row r="145" spans="1:10">
      <c r="A145" s="888">
        <f>A144+1</f>
        <v>98</v>
      </c>
      <c r="B145" s="666" t="s">
        <v>522</v>
      </c>
      <c r="C145" s="854"/>
      <c r="D145" s="854"/>
      <c r="E145" s="854"/>
      <c r="F145" s="854"/>
      <c r="G145" s="854"/>
      <c r="H145" s="854"/>
      <c r="I145" s="854"/>
      <c r="J145" s="895">
        <f>SUM(C145:I145)</f>
        <v>0</v>
      </c>
    </row>
    <row r="146" spans="1:10">
      <c r="A146" s="888">
        <f>A145+1</f>
        <v>99</v>
      </c>
      <c r="B146" s="666" t="s">
        <v>523</v>
      </c>
      <c r="C146" s="147"/>
      <c r="D146" s="147"/>
      <c r="E146" s="147"/>
      <c r="F146" s="147"/>
      <c r="G146" s="147"/>
      <c r="H146" s="147"/>
      <c r="I146" s="147"/>
      <c r="J146" s="900">
        <f>SUM(C146:I146)</f>
        <v>0</v>
      </c>
    </row>
    <row r="147" spans="1:10">
      <c r="A147" s="888">
        <f>A146+1</f>
        <v>100</v>
      </c>
      <c r="B147" s="849" t="s">
        <v>524</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525</v>
      </c>
    </row>
    <row r="150" spans="1:10">
      <c r="A150" s="888">
        <f>A147+1</f>
        <v>101</v>
      </c>
      <c r="B150" s="468"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8"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8"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8"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8"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8"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8"/>
      <c r="C158" s="903"/>
      <c r="D158" s="903"/>
      <c r="E158" s="903"/>
      <c r="F158" s="903"/>
      <c r="G158" s="903"/>
      <c r="H158" s="903"/>
      <c r="I158" s="903"/>
      <c r="J158" s="903"/>
    </row>
    <row r="159" spans="1:10">
      <c r="A159" s="902">
        <f>A157+1</f>
        <v>108</v>
      </c>
      <c r="B159" s="848" t="s">
        <v>556</v>
      </c>
      <c r="C159" s="904"/>
      <c r="D159" s="904"/>
      <c r="E159" s="904"/>
      <c r="F159" s="904"/>
      <c r="G159" s="904"/>
      <c r="H159" s="904"/>
      <c r="I159" s="904"/>
      <c r="J159" s="904"/>
    </row>
    <row r="160" spans="1:10">
      <c r="A160" s="902"/>
      <c r="B160" s="468"/>
      <c r="C160" s="903"/>
      <c r="D160" s="903"/>
      <c r="E160" s="903"/>
      <c r="F160" s="903"/>
      <c r="G160" s="903"/>
      <c r="H160" s="903"/>
      <c r="I160" s="903"/>
      <c r="J160" s="903"/>
    </row>
    <row r="161" spans="1:10">
      <c r="A161" s="902">
        <f>A159+1</f>
        <v>109</v>
      </c>
      <c r="B161" s="848" t="s">
        <v>556</v>
      </c>
      <c r="C161" s="903"/>
      <c r="D161" s="903"/>
      <c r="E161" s="903"/>
      <c r="F161" s="903"/>
      <c r="G161" s="903"/>
      <c r="H161" s="903"/>
      <c r="I161" s="903"/>
      <c r="J161" s="903"/>
    </row>
    <row r="162" spans="1:10">
      <c r="A162" s="902">
        <f>A161+1</f>
        <v>110</v>
      </c>
      <c r="B162" s="848" t="s">
        <v>556</v>
      </c>
      <c r="C162" s="903"/>
      <c r="D162" s="903"/>
      <c r="E162" s="903"/>
      <c r="F162" s="903"/>
      <c r="G162" s="903"/>
      <c r="H162" s="903"/>
      <c r="I162" s="903"/>
      <c r="J162" s="903"/>
    </row>
    <row r="163" spans="1:10">
      <c r="A163" s="902">
        <f>A162+1</f>
        <v>111</v>
      </c>
      <c r="B163" s="848" t="s">
        <v>556</v>
      </c>
      <c r="C163" s="903"/>
      <c r="D163" s="903"/>
      <c r="E163" s="903"/>
      <c r="F163" s="903"/>
      <c r="G163" s="903"/>
      <c r="H163" s="903"/>
      <c r="I163" s="903"/>
      <c r="J163" s="903"/>
    </row>
    <row r="164" spans="1:10">
      <c r="B164" s="468"/>
      <c r="C164" s="901"/>
      <c r="D164" s="901"/>
      <c r="E164" s="901"/>
      <c r="F164" s="901"/>
      <c r="G164" s="901"/>
      <c r="H164" s="901"/>
      <c r="I164" s="901"/>
      <c r="J164" s="901"/>
    </row>
    <row r="165" spans="1:10" ht="15">
      <c r="A165" s="847" t="s">
        <v>527</v>
      </c>
    </row>
    <row r="166" spans="1:10">
      <c r="A166" s="888">
        <f>A163+1</f>
        <v>112</v>
      </c>
      <c r="B166" s="468"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8"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8" t="s">
        <v>528</v>
      </c>
      <c r="C168" s="901">
        <v>0.1149</v>
      </c>
      <c r="D168" s="901"/>
      <c r="E168" s="901">
        <v>0.1149</v>
      </c>
      <c r="F168" s="901">
        <v>0.1149</v>
      </c>
      <c r="G168" s="901">
        <v>0.1149</v>
      </c>
      <c r="H168" s="901">
        <v>0.1149</v>
      </c>
      <c r="I168" s="901">
        <v>0.1149</v>
      </c>
      <c r="J168" s="901">
        <v>0.1149</v>
      </c>
    </row>
    <row r="170" spans="1:10" ht="15">
      <c r="A170" s="847" t="s">
        <v>529</v>
      </c>
    </row>
    <row r="171" spans="1:10">
      <c r="A171" s="888">
        <f>A168+1</f>
        <v>115</v>
      </c>
      <c r="B171" s="468"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8"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8"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76" t="s">
        <v>505</v>
      </c>
      <c r="B177" s="1576"/>
      <c r="C177" s="1576"/>
      <c r="D177" s="1576"/>
      <c r="E177" s="1576"/>
      <c r="F177" s="1576"/>
      <c r="G177" s="1576"/>
      <c r="H177" s="1576"/>
      <c r="I177" s="1576"/>
      <c r="J177" s="1576"/>
    </row>
    <row r="178" spans="1:10">
      <c r="A178" s="1576" t="s">
        <v>530</v>
      </c>
      <c r="B178" s="1576"/>
      <c r="C178" s="1576"/>
      <c r="D178" s="1576"/>
      <c r="E178" s="1576"/>
      <c r="F178" s="1576"/>
      <c r="G178" s="1576"/>
      <c r="H178" s="1576"/>
      <c r="I178" s="1576"/>
      <c r="J178" s="1576"/>
    </row>
    <row r="179" spans="1:10">
      <c r="A179" s="1576" t="s">
        <v>250</v>
      </c>
      <c r="B179" s="1576"/>
      <c r="C179" s="1576"/>
      <c r="D179" s="1576"/>
      <c r="E179" s="1576"/>
      <c r="F179" s="1576"/>
      <c r="G179" s="1576"/>
      <c r="H179" s="1576"/>
      <c r="I179" s="1576"/>
      <c r="J179" s="1576"/>
    </row>
    <row r="181" spans="1:10" ht="76.5">
      <c r="A181" s="888" t="s">
        <v>459</v>
      </c>
      <c r="C181" s="889" t="s">
        <v>506</v>
      </c>
      <c r="D181" s="889"/>
      <c r="E181" s="889" t="s">
        <v>507</v>
      </c>
      <c r="F181" s="889" t="s">
        <v>508</v>
      </c>
      <c r="G181" s="889" t="s">
        <v>509</v>
      </c>
      <c r="H181" s="889" t="s">
        <v>510</v>
      </c>
      <c r="I181" s="889" t="s">
        <v>511</v>
      </c>
      <c r="J181" s="889" t="s">
        <v>512</v>
      </c>
    </row>
    <row r="182" spans="1:10" ht="15">
      <c r="A182" s="847" t="s">
        <v>531</v>
      </c>
    </row>
    <row r="183" spans="1:10">
      <c r="A183" s="888">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8">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8">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8">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8">
        <f>A186+1</f>
        <v>123</v>
      </c>
      <c r="B187" s="852"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3"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75" t="s">
        <v>57</v>
      </c>
      <c r="C190" s="1575"/>
      <c r="D190" s="1575"/>
      <c r="E190" s="1575"/>
      <c r="F190" s="1575"/>
      <c r="G190" s="1575"/>
      <c r="H190" s="1575"/>
      <c r="I190" s="1575"/>
      <c r="J190" s="1575"/>
    </row>
    <row r="191" spans="1:10" s="902" customFormat="1">
      <c r="A191" s="909"/>
      <c r="B191" s="892"/>
      <c r="C191" s="892"/>
      <c r="D191" s="892"/>
      <c r="E191" s="892"/>
      <c r="F191" s="892"/>
      <c r="G191" s="892"/>
      <c r="H191" s="892"/>
      <c r="I191" s="892"/>
      <c r="J191" s="892"/>
    </row>
    <row r="192" spans="1:10" ht="15">
      <c r="A192" s="847"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2"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902">
        <f t="shared" ref="A194:A199" si="59">A193+1</f>
        <v>127</v>
      </c>
      <c r="B194" s="852"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902">
        <f t="shared" si="59"/>
        <v>128</v>
      </c>
      <c r="B195" s="852"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902">
        <f t="shared" si="59"/>
        <v>129</v>
      </c>
      <c r="B196" s="852"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4">
        <f t="shared" si="58"/>
        <v>0</v>
      </c>
    </row>
    <row r="197" spans="1:10">
      <c r="A197" s="902">
        <f t="shared" si="59"/>
        <v>130</v>
      </c>
      <c r="B197" s="852"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4">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7"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8"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8"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7" t="s">
        <v>533</v>
      </c>
    </row>
    <row r="206" spans="1:10">
      <c r="A206" s="888">
        <f>A203+1</f>
        <v>135</v>
      </c>
      <c r="B206" s="666"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95" t="e">
        <f>SUM(C206:I206)</f>
        <v>#DIV/0!</v>
      </c>
    </row>
    <row r="207" spans="1:10">
      <c r="A207" s="888">
        <f>A206+1</f>
        <v>136</v>
      </c>
      <c r="B207" s="666"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95">
        <f>SUM(C207:I207)</f>
        <v>0</v>
      </c>
    </row>
    <row r="208" spans="1:10">
      <c r="A208" s="888">
        <f>A207+1</f>
        <v>137</v>
      </c>
      <c r="B208" s="666"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95" t="e">
        <f>SUM(C208:I208)</f>
        <v>#DIV/0!</v>
      </c>
    </row>
    <row r="209" spans="1:12">
      <c r="A209" s="888">
        <f>A208+1</f>
        <v>138</v>
      </c>
      <c r="B209" s="666"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525</v>
      </c>
    </row>
    <row r="213" spans="1:12">
      <c r="A213" s="888">
        <f>A210+1</f>
        <v>140</v>
      </c>
      <c r="B213" s="468"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8"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8"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8"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8"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8"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8"/>
      <c r="C221" s="903"/>
      <c r="D221" s="903"/>
      <c r="E221" s="903"/>
      <c r="F221" s="903"/>
      <c r="G221" s="903"/>
      <c r="H221" s="903"/>
      <c r="I221" s="903"/>
      <c r="J221" s="903"/>
    </row>
    <row r="222" spans="1:12">
      <c r="A222" s="902">
        <f>A220+1</f>
        <v>147</v>
      </c>
      <c r="B222" s="848" t="s">
        <v>556</v>
      </c>
      <c r="C222" s="903"/>
      <c r="D222" s="903"/>
      <c r="E222" s="903"/>
      <c r="F222" s="903"/>
      <c r="G222" s="903"/>
      <c r="H222" s="903"/>
      <c r="I222" s="903"/>
      <c r="J222" s="903"/>
    </row>
    <row r="223" spans="1:12">
      <c r="A223" s="902"/>
      <c r="B223" s="468"/>
      <c r="C223" s="903"/>
      <c r="D223" s="903"/>
      <c r="E223" s="903"/>
      <c r="F223" s="903"/>
      <c r="G223" s="903"/>
      <c r="H223" s="903"/>
      <c r="I223" s="903"/>
      <c r="J223" s="903"/>
    </row>
    <row r="224" spans="1:12">
      <c r="A224" s="902">
        <f>A222+1</f>
        <v>148</v>
      </c>
      <c r="B224" s="848" t="s">
        <v>556</v>
      </c>
      <c r="C224" s="903"/>
      <c r="D224" s="903"/>
      <c r="E224" s="903"/>
      <c r="F224" s="903"/>
      <c r="G224" s="903"/>
      <c r="H224" s="903"/>
      <c r="I224" s="903"/>
      <c r="J224" s="903"/>
    </row>
    <row r="225" spans="1:10">
      <c r="A225" s="902">
        <f>A224+1</f>
        <v>149</v>
      </c>
      <c r="B225" s="848" t="s">
        <v>556</v>
      </c>
      <c r="C225" s="903"/>
      <c r="D225" s="903"/>
      <c r="E225" s="903"/>
      <c r="F225" s="903"/>
      <c r="G225" s="903"/>
      <c r="H225" s="903"/>
      <c r="I225" s="903"/>
      <c r="J225" s="903"/>
    </row>
    <row r="226" spans="1:10">
      <c r="A226" s="902">
        <f>A225+1</f>
        <v>150</v>
      </c>
      <c r="B226" s="848" t="s">
        <v>556</v>
      </c>
      <c r="C226" s="903"/>
      <c r="D226" s="903"/>
      <c r="E226" s="903"/>
      <c r="F226" s="903"/>
      <c r="G226" s="903"/>
      <c r="H226" s="903"/>
      <c r="I226" s="903"/>
      <c r="J226" s="903"/>
    </row>
    <row r="227" spans="1:10">
      <c r="A227" s="902"/>
      <c r="B227" s="468"/>
      <c r="C227" s="903"/>
      <c r="D227" s="903"/>
      <c r="E227" s="903"/>
      <c r="F227" s="903"/>
      <c r="G227" s="903"/>
      <c r="H227" s="903"/>
      <c r="I227" s="903"/>
      <c r="J227" s="903"/>
    </row>
    <row r="228" spans="1:10" ht="15">
      <c r="A228" s="847" t="s">
        <v>527</v>
      </c>
      <c r="B228" s="902"/>
      <c r="C228" s="902"/>
      <c r="D228" s="902"/>
      <c r="E228" s="902"/>
      <c r="F228" s="902"/>
      <c r="G228" s="902"/>
      <c r="H228" s="902"/>
      <c r="I228" s="902"/>
      <c r="J228" s="902"/>
    </row>
    <row r="229" spans="1:10">
      <c r="A229" s="902">
        <f>A226+1</f>
        <v>151</v>
      </c>
      <c r="B229" s="468"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8"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8"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7" t="s">
        <v>529</v>
      </c>
      <c r="B233" s="902"/>
      <c r="C233" s="902"/>
      <c r="D233" s="902"/>
      <c r="E233" s="902"/>
      <c r="F233" s="902"/>
      <c r="G233" s="902"/>
      <c r="H233" s="902"/>
      <c r="I233" s="902"/>
      <c r="J233" s="902"/>
    </row>
    <row r="234" spans="1:10">
      <c r="A234" s="902">
        <f>A231+1</f>
        <v>154</v>
      </c>
      <c r="B234" s="468"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8"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8"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1"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4" zoomScale="60" zoomScaleNormal="100" workbookViewId="0">
      <selection activeCell="G21" sqref="G21:G50"/>
    </sheetView>
  </sheetViews>
  <sheetFormatPr defaultColWidth="8.85546875" defaultRowHeight="12.75"/>
  <cols>
    <col min="1" max="1" width="8.85546875" style="173"/>
    <col min="2" max="2" width="31.710937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78" t="s">
        <v>608</v>
      </c>
      <c r="C1" s="1578"/>
      <c r="D1" s="1578"/>
      <c r="E1" s="1578"/>
      <c r="F1" s="1578"/>
      <c r="G1" s="1578"/>
      <c r="H1" s="1578"/>
      <c r="I1" s="1578"/>
      <c r="J1" s="1578"/>
      <c r="K1" s="1578"/>
      <c r="L1" s="1578"/>
    </row>
    <row r="2" spans="2:12" ht="15.75">
      <c r="B2" s="1579" t="s">
        <v>555</v>
      </c>
      <c r="C2" s="1579"/>
      <c r="D2" s="1579"/>
      <c r="E2" s="1579"/>
      <c r="F2" s="1579"/>
      <c r="G2" s="1579"/>
      <c r="H2" s="1579"/>
      <c r="I2" s="1579"/>
      <c r="J2" s="1579"/>
      <c r="K2" s="1579"/>
      <c r="L2" s="1579"/>
    </row>
    <row r="3" spans="2:12" ht="18">
      <c r="B3" s="1577" t="s">
        <v>585</v>
      </c>
      <c r="C3" s="1577"/>
      <c r="D3" s="1577"/>
      <c r="E3" s="1577"/>
      <c r="F3" s="1577"/>
      <c r="G3" s="1577"/>
      <c r="H3" s="1577"/>
      <c r="I3" s="1577"/>
      <c r="J3" s="1577"/>
      <c r="K3" s="1577"/>
      <c r="L3" s="1577"/>
    </row>
    <row r="4" spans="2:12" ht="15.75">
      <c r="B4" s="393"/>
      <c r="C4" s="393"/>
      <c r="D4" s="393"/>
      <c r="E4" s="1579"/>
      <c r="F4" s="1579"/>
      <c r="G4" s="1579"/>
      <c r="H4" s="1579"/>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70.5" customHeight="1">
      <c r="B8" s="1398" t="str">
        <f>"Reconciliation Revenue Requirement For Year 2023 Available May 25, 2024"</f>
        <v>Reconciliation Revenue Requirement For Year 2023 Available May 25, 2024</v>
      </c>
      <c r="C8" s="1399"/>
      <c r="D8" s="1399"/>
      <c r="E8" s="1398" t="s">
        <v>982</v>
      </c>
      <c r="F8" s="923"/>
      <c r="G8" s="923"/>
      <c r="H8" s="393"/>
      <c r="I8" s="1307" t="s">
        <v>557</v>
      </c>
      <c r="J8" s="393"/>
      <c r="K8" s="393"/>
      <c r="L8" s="1308" t="s">
        <v>406</v>
      </c>
    </row>
    <row r="9" spans="2:12" ht="15.75">
      <c r="B9" s="924" t="s">
        <v>406</v>
      </c>
      <c r="C9" s="923"/>
      <c r="D9" s="923"/>
      <c r="E9" s="924"/>
      <c r="F9" s="923"/>
      <c r="G9" s="923"/>
      <c r="H9" s="393"/>
      <c r="I9" s="925"/>
      <c r="J9" s="393"/>
      <c r="K9" s="393"/>
      <c r="L9" s="1309"/>
    </row>
    <row r="10" spans="2:12" ht="24" thickBot="1">
      <c r="B10" s="921">
        <v>14434488.875774909</v>
      </c>
      <c r="C10" s="1310" t="str">
        <f>"-"</f>
        <v>-</v>
      </c>
      <c r="D10" s="926"/>
      <c r="E10" s="921">
        <v>16032704.659965754</v>
      </c>
      <c r="F10" s="927"/>
      <c r="G10" s="1311" t="str">
        <f>"="</f>
        <v>=</v>
      </c>
      <c r="H10" s="928"/>
      <c r="I10" s="929">
        <f>IF(B10=0,0,E10-B10)</f>
        <v>1598215.7841908447</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802</v>
      </c>
      <c r="C14" s="931"/>
      <c r="D14" s="931"/>
      <c r="E14" s="937" t="s">
        <v>558</v>
      </c>
      <c r="F14" s="930"/>
      <c r="G14" s="937" t="s">
        <v>559</v>
      </c>
      <c r="H14" s="938" t="s">
        <v>560</v>
      </c>
      <c r="I14" s="939" t="s">
        <v>561</v>
      </c>
      <c r="J14" s="937" t="s">
        <v>562</v>
      </c>
      <c r="K14" s="940"/>
      <c r="L14" s="937" t="s">
        <v>563</v>
      </c>
    </row>
    <row r="15" spans="2:12" ht="15.75">
      <c r="B15" s="936" t="s">
        <v>803</v>
      </c>
      <c r="C15" s="931"/>
      <c r="D15" s="931"/>
      <c r="E15" s="393"/>
      <c r="F15" s="941"/>
      <c r="G15" s="953">
        <v>6.4749999999999981E-3</v>
      </c>
      <c r="I15" s="393"/>
      <c r="J15" s="393"/>
      <c r="K15" s="393"/>
      <c r="L15" s="393"/>
    </row>
    <row r="16" spans="2:12" ht="15.75">
      <c r="B16" s="936"/>
      <c r="C16" s="931"/>
      <c r="D16" s="931"/>
      <c r="E16" s="393"/>
      <c r="F16" s="941"/>
      <c r="G16" s="941"/>
      <c r="H16" s="930"/>
      <c r="I16" s="393"/>
      <c r="J16" s="393"/>
      <c r="K16" s="393"/>
      <c r="L16" s="393"/>
    </row>
    <row r="17" spans="2:12" ht="15.75">
      <c r="B17" s="1397" t="s">
        <v>984</v>
      </c>
      <c r="C17" s="931"/>
      <c r="D17" s="931"/>
      <c r="E17" s="393"/>
      <c r="F17" s="941"/>
      <c r="G17" s="941"/>
      <c r="H17" s="930"/>
      <c r="I17" s="393"/>
      <c r="J17" s="393"/>
      <c r="K17" s="393"/>
      <c r="L17" s="393"/>
    </row>
    <row r="18" spans="2:12" ht="15.75">
      <c r="B18" s="942" t="s">
        <v>406</v>
      </c>
      <c r="C18" s="931"/>
      <c r="D18" s="931"/>
      <c r="E18" s="931"/>
      <c r="F18" s="931"/>
      <c r="G18" s="1454" t="s">
        <v>406</v>
      </c>
      <c r="H18" s="393"/>
      <c r="I18" s="393"/>
      <c r="J18" s="393"/>
      <c r="K18" s="393"/>
      <c r="L18" s="393"/>
    </row>
    <row r="19" spans="2:12" ht="15.75">
      <c r="B19" s="943"/>
      <c r="C19" s="931"/>
      <c r="D19" s="931"/>
      <c r="E19" s="931"/>
      <c r="F19" s="931"/>
      <c r="G19" s="1455"/>
      <c r="H19" s="393"/>
      <c r="I19" s="938"/>
      <c r="J19" s="931"/>
      <c r="K19" s="931"/>
      <c r="L19" s="931"/>
    </row>
    <row r="20" spans="2:12" ht="15.75">
      <c r="B20" s="943" t="s">
        <v>564</v>
      </c>
      <c r="C20" s="931"/>
      <c r="D20" s="931"/>
      <c r="E20" s="931"/>
      <c r="F20" s="931"/>
      <c r="G20" s="1455"/>
      <c r="H20" s="393"/>
      <c r="I20" s="938" t="s">
        <v>565</v>
      </c>
      <c r="J20" s="931"/>
      <c r="K20" s="931"/>
      <c r="L20" s="931"/>
    </row>
    <row r="21" spans="2:12" ht="15.75">
      <c r="B21" s="923" t="s">
        <v>566</v>
      </c>
      <c r="C21" s="923" t="str">
        <f>"Year "&amp;TCOS!L4-2</f>
        <v>Year 2023</v>
      </c>
      <c r="D21" s="923"/>
      <c r="E21" s="944">
        <f>I10/12</f>
        <v>133184.64868257041</v>
      </c>
      <c r="F21" s="944"/>
      <c r="G21" s="1456">
        <f>G15</f>
        <v>6.4749999999999981E-3</v>
      </c>
      <c r="H21" s="1312">
        <v>12</v>
      </c>
      <c r="I21" s="944">
        <f>G21*E21*H21*-1</f>
        <v>-10348.447202635718</v>
      </c>
      <c r="J21" s="944"/>
      <c r="K21" s="944"/>
      <c r="L21" s="944">
        <f>(-I21+E21)*-1</f>
        <v>-143533.09588520613</v>
      </c>
    </row>
    <row r="22" spans="2:12" ht="15.75">
      <c r="B22" s="923" t="s">
        <v>567</v>
      </c>
      <c r="C22" s="923" t="str">
        <f>C21</f>
        <v>Year 2023</v>
      </c>
      <c r="D22" s="923"/>
      <c r="E22" s="944">
        <f>+E21</f>
        <v>133184.64868257041</v>
      </c>
      <c r="F22" s="944"/>
      <c r="G22" s="1456">
        <f>+G21</f>
        <v>6.4749999999999981E-3</v>
      </c>
      <c r="H22" s="1312">
        <f t="shared" ref="H22:H32" si="0">+H21-1</f>
        <v>11</v>
      </c>
      <c r="I22" s="944">
        <f t="shared" ref="I22:I32" si="1">G22*E22*H22*-1</f>
        <v>-9486.0766024160748</v>
      </c>
      <c r="J22" s="944"/>
      <c r="K22" s="944"/>
      <c r="L22" s="944">
        <f t="shared" ref="L22:L32" si="2">(-I22+E22)*-1</f>
        <v>-142670.72528498649</v>
      </c>
    </row>
    <row r="23" spans="2:12" ht="15.75">
      <c r="B23" s="923" t="s">
        <v>568</v>
      </c>
      <c r="C23" s="923" t="str">
        <f>C21</f>
        <v>Year 2023</v>
      </c>
      <c r="D23" s="923"/>
      <c r="E23" s="944">
        <f t="shared" ref="E23:E32" si="3">+E22</f>
        <v>133184.64868257041</v>
      </c>
      <c r="F23" s="944"/>
      <c r="G23" s="1456">
        <f t="shared" ref="G23:G32" si="4">+G22</f>
        <v>6.4749999999999981E-3</v>
      </c>
      <c r="H23" s="1312">
        <f t="shared" si="0"/>
        <v>10</v>
      </c>
      <c r="I23" s="944">
        <f t="shared" si="1"/>
        <v>-8623.7060021964317</v>
      </c>
      <c r="J23" s="944"/>
      <c r="K23" s="944"/>
      <c r="L23" s="944">
        <f t="shared" si="2"/>
        <v>-141808.35468476685</v>
      </c>
    </row>
    <row r="24" spans="2:12" ht="15.75">
      <c r="B24" s="923" t="s">
        <v>569</v>
      </c>
      <c r="C24" s="923" t="str">
        <f>C21</f>
        <v>Year 2023</v>
      </c>
      <c r="D24" s="923"/>
      <c r="E24" s="944">
        <f t="shared" si="3"/>
        <v>133184.64868257041</v>
      </c>
      <c r="F24" s="944"/>
      <c r="G24" s="1456">
        <f t="shared" si="4"/>
        <v>6.4749999999999981E-3</v>
      </c>
      <c r="H24" s="1312">
        <f t="shared" si="0"/>
        <v>9</v>
      </c>
      <c r="I24" s="944">
        <f t="shared" si="1"/>
        <v>-7761.3354019767885</v>
      </c>
      <c r="J24" s="944"/>
      <c r="K24" s="944"/>
      <c r="L24" s="944">
        <f t="shared" si="2"/>
        <v>-140945.98408454721</v>
      </c>
    </row>
    <row r="25" spans="2:12" ht="15.75">
      <c r="B25" s="923" t="s">
        <v>570</v>
      </c>
      <c r="C25" s="923" t="str">
        <f>C21</f>
        <v>Year 2023</v>
      </c>
      <c r="D25" s="923"/>
      <c r="E25" s="944">
        <f t="shared" si="3"/>
        <v>133184.64868257041</v>
      </c>
      <c r="F25" s="944"/>
      <c r="G25" s="1456">
        <f t="shared" si="4"/>
        <v>6.4749999999999981E-3</v>
      </c>
      <c r="H25" s="1312">
        <f t="shared" si="0"/>
        <v>8</v>
      </c>
      <c r="I25" s="944">
        <f t="shared" si="1"/>
        <v>-6898.9648017571453</v>
      </c>
      <c r="J25" s="944"/>
      <c r="K25" s="944"/>
      <c r="L25" s="944">
        <f t="shared" si="2"/>
        <v>-140083.61348432756</v>
      </c>
    </row>
    <row r="26" spans="2:12" ht="15.75">
      <c r="B26" s="923" t="s">
        <v>571</v>
      </c>
      <c r="C26" s="923" t="str">
        <f>C21</f>
        <v>Year 2023</v>
      </c>
      <c r="D26" s="923"/>
      <c r="E26" s="944">
        <f t="shared" si="3"/>
        <v>133184.64868257041</v>
      </c>
      <c r="F26" s="944"/>
      <c r="G26" s="1456">
        <f t="shared" si="4"/>
        <v>6.4749999999999981E-3</v>
      </c>
      <c r="H26" s="1312">
        <f t="shared" si="0"/>
        <v>7</v>
      </c>
      <c r="I26" s="944">
        <f t="shared" si="1"/>
        <v>-6036.5942015375022</v>
      </c>
      <c r="J26" s="944"/>
      <c r="K26" s="944"/>
      <c r="L26" s="944">
        <f t="shared" si="2"/>
        <v>-139221.24288410789</v>
      </c>
    </row>
    <row r="27" spans="2:12" ht="15.75">
      <c r="B27" s="923" t="s">
        <v>572</v>
      </c>
      <c r="C27" s="923" t="str">
        <f>C21</f>
        <v>Year 2023</v>
      </c>
      <c r="D27" s="923"/>
      <c r="E27" s="944">
        <f t="shared" si="3"/>
        <v>133184.64868257041</v>
      </c>
      <c r="F27" s="944"/>
      <c r="G27" s="1456">
        <f t="shared" si="4"/>
        <v>6.4749999999999981E-3</v>
      </c>
      <c r="H27" s="1312">
        <f t="shared" si="0"/>
        <v>6</v>
      </c>
      <c r="I27" s="944">
        <f t="shared" si="1"/>
        <v>-5174.223601317859</v>
      </c>
      <c r="J27" s="944"/>
      <c r="K27" s="944"/>
      <c r="L27" s="944">
        <f t="shared" si="2"/>
        <v>-138358.87228388825</v>
      </c>
    </row>
    <row r="28" spans="2:12" ht="15.75">
      <c r="B28" s="923" t="s">
        <v>573</v>
      </c>
      <c r="C28" s="923" t="str">
        <f>C21</f>
        <v>Year 2023</v>
      </c>
      <c r="D28" s="923"/>
      <c r="E28" s="944">
        <f t="shared" si="3"/>
        <v>133184.64868257041</v>
      </c>
      <c r="F28" s="944"/>
      <c r="G28" s="1456">
        <f t="shared" si="4"/>
        <v>6.4749999999999981E-3</v>
      </c>
      <c r="H28" s="1312">
        <f t="shared" si="0"/>
        <v>5</v>
      </c>
      <c r="I28" s="944">
        <f t="shared" si="1"/>
        <v>-4311.8530010982158</v>
      </c>
      <c r="J28" s="944"/>
      <c r="K28" s="944"/>
      <c r="L28" s="944">
        <f t="shared" si="2"/>
        <v>-137496.50168366861</v>
      </c>
    </row>
    <row r="29" spans="2:12" ht="15.75">
      <c r="B29" s="923" t="s">
        <v>574</v>
      </c>
      <c r="C29" s="923" t="str">
        <f>C21</f>
        <v>Year 2023</v>
      </c>
      <c r="D29" s="923"/>
      <c r="E29" s="944">
        <f t="shared" si="3"/>
        <v>133184.64868257041</v>
      </c>
      <c r="F29" s="944"/>
      <c r="G29" s="1456">
        <f t="shared" si="4"/>
        <v>6.4749999999999981E-3</v>
      </c>
      <c r="H29" s="1312">
        <f t="shared" si="0"/>
        <v>4</v>
      </c>
      <c r="I29" s="944">
        <f t="shared" si="1"/>
        <v>-3449.4824008785727</v>
      </c>
      <c r="J29" s="944"/>
      <c r="K29" s="944"/>
      <c r="L29" s="944">
        <f t="shared" si="2"/>
        <v>-136634.13108344897</v>
      </c>
    </row>
    <row r="30" spans="2:12" ht="15.75">
      <c r="B30" s="923" t="s">
        <v>575</v>
      </c>
      <c r="C30" s="923" t="str">
        <f>C21</f>
        <v>Year 2023</v>
      </c>
      <c r="D30" s="923"/>
      <c r="E30" s="944">
        <f t="shared" si="3"/>
        <v>133184.64868257041</v>
      </c>
      <c r="F30" s="944"/>
      <c r="G30" s="1456">
        <f t="shared" si="4"/>
        <v>6.4749999999999981E-3</v>
      </c>
      <c r="H30" s="1312">
        <f t="shared" si="0"/>
        <v>3</v>
      </c>
      <c r="I30" s="944">
        <f t="shared" si="1"/>
        <v>-2587.1118006589295</v>
      </c>
      <c r="J30" s="944"/>
      <c r="K30" s="944"/>
      <c r="L30" s="944">
        <f t="shared" si="2"/>
        <v>-135771.76048322933</v>
      </c>
    </row>
    <row r="31" spans="2:12" ht="15.75">
      <c r="B31" s="923" t="s">
        <v>576</v>
      </c>
      <c r="C31" s="923" t="str">
        <f>C21</f>
        <v>Year 2023</v>
      </c>
      <c r="D31" s="923"/>
      <c r="E31" s="944">
        <f t="shared" si="3"/>
        <v>133184.64868257041</v>
      </c>
      <c r="F31" s="944"/>
      <c r="G31" s="1456">
        <f t="shared" si="4"/>
        <v>6.4749999999999981E-3</v>
      </c>
      <c r="H31" s="1312">
        <f t="shared" si="0"/>
        <v>2</v>
      </c>
      <c r="I31" s="944">
        <f t="shared" si="1"/>
        <v>-1724.7412004392863</v>
      </c>
      <c r="J31" s="944"/>
      <c r="K31" s="944"/>
      <c r="L31" s="944">
        <f t="shared" si="2"/>
        <v>-134909.38988300969</v>
      </c>
    </row>
    <row r="32" spans="2:12" ht="15.75">
      <c r="B32" s="923" t="s">
        <v>577</v>
      </c>
      <c r="C32" s="923" t="str">
        <f>C21</f>
        <v>Year 2023</v>
      </c>
      <c r="D32" s="923"/>
      <c r="E32" s="944">
        <f t="shared" si="3"/>
        <v>133184.64868257041</v>
      </c>
      <c r="F32" s="944"/>
      <c r="G32" s="1456">
        <f t="shared" si="4"/>
        <v>6.4749999999999981E-3</v>
      </c>
      <c r="H32" s="1312">
        <f t="shared" si="0"/>
        <v>1</v>
      </c>
      <c r="I32" s="946">
        <f t="shared" si="1"/>
        <v>-862.37060021964317</v>
      </c>
      <c r="J32" s="944"/>
      <c r="K32" s="944"/>
      <c r="L32" s="944">
        <f t="shared" si="2"/>
        <v>-134047.01928279005</v>
      </c>
    </row>
    <row r="33" spans="2:12" ht="15.75">
      <c r="B33" s="923"/>
      <c r="C33" s="923"/>
      <c r="D33" s="923"/>
      <c r="E33" s="944"/>
      <c r="F33" s="944"/>
      <c r="G33" s="1456"/>
      <c r="H33" s="923"/>
      <c r="I33" s="944">
        <f>SUM(I21:I32)</f>
        <v>-67264.906817132171</v>
      </c>
      <c r="J33" s="944"/>
      <c r="K33" s="944"/>
      <c r="L33" s="947">
        <f>SUM(L21:L32)</f>
        <v>-1665480.6910079771</v>
      </c>
    </row>
    <row r="34" spans="2:12" ht="15.75">
      <c r="B34" s="923"/>
      <c r="C34" s="923"/>
      <c r="D34" s="923"/>
      <c r="E34" s="944"/>
      <c r="F34" s="944"/>
      <c r="G34" s="1456"/>
      <c r="H34" s="923"/>
      <c r="I34" s="944"/>
      <c r="J34" s="944" t="s">
        <v>406</v>
      </c>
      <c r="K34" s="944"/>
      <c r="L34" s="393"/>
    </row>
    <row r="35" spans="2:12" ht="15.75">
      <c r="B35" s="923"/>
      <c r="C35" s="923"/>
      <c r="D35" s="923"/>
      <c r="E35" s="930"/>
      <c r="F35" s="930"/>
      <c r="G35" s="1456"/>
      <c r="H35" s="923"/>
      <c r="I35" s="948" t="s">
        <v>578</v>
      </c>
      <c r="J35" s="944"/>
      <c r="K35" s="944"/>
      <c r="L35" s="944"/>
    </row>
    <row r="36" spans="2:12" ht="15.75">
      <c r="B36" s="923" t="s">
        <v>579</v>
      </c>
      <c r="C36" s="923" t="str">
        <f>"Year "&amp;TCOS!L4-1</f>
        <v>Year 2024</v>
      </c>
      <c r="D36" s="923"/>
      <c r="E36" s="930">
        <f>L33</f>
        <v>-1665480.6910079771</v>
      </c>
      <c r="F36" s="930"/>
      <c r="G36" s="1456">
        <f>G32</f>
        <v>6.4749999999999981E-3</v>
      </c>
      <c r="H36" s="1312">
        <v>12</v>
      </c>
      <c r="I36" s="944">
        <f>+H36*G36*E36</f>
        <v>-129407.84969131979</v>
      </c>
      <c r="J36" s="944"/>
      <c r="K36" s="944"/>
      <c r="L36" s="947">
        <f>+E36+I36</f>
        <v>-1794888.5406992969</v>
      </c>
    </row>
    <row r="37" spans="2:12" ht="15.75">
      <c r="B37" s="923"/>
      <c r="C37" s="923"/>
      <c r="D37" s="923"/>
      <c r="E37" s="930"/>
      <c r="F37" s="930"/>
      <c r="G37" s="1456"/>
      <c r="H37" s="923"/>
      <c r="I37" s="944"/>
      <c r="J37" s="944"/>
      <c r="K37" s="944"/>
      <c r="L37" s="944"/>
    </row>
    <row r="38" spans="2:12" ht="15.75">
      <c r="B38" s="949" t="s">
        <v>580</v>
      </c>
      <c r="C38" s="923"/>
      <c r="D38" s="923"/>
      <c r="E38" s="944"/>
      <c r="F38" s="944"/>
      <c r="G38" s="1456"/>
      <c r="H38" s="923"/>
      <c r="I38" s="948" t="s">
        <v>565</v>
      </c>
      <c r="J38" s="944"/>
      <c r="K38" s="944"/>
      <c r="L38" s="944"/>
    </row>
    <row r="39" spans="2:12" ht="15.75">
      <c r="B39" s="923" t="s">
        <v>566</v>
      </c>
      <c r="C39" s="923" t="str">
        <f>"Year "&amp;TCOS!L4</f>
        <v>Year 2025</v>
      </c>
      <c r="D39" s="923"/>
      <c r="E39" s="930">
        <f>-L36</f>
        <v>1794888.5406992969</v>
      </c>
      <c r="F39" s="930"/>
      <c r="G39" s="1456">
        <f>G15</f>
        <v>6.4749999999999981E-3</v>
      </c>
      <c r="H39" s="1312" t="s">
        <v>406</v>
      </c>
      <c r="I39" s="944">
        <f xml:space="preserve"> -G39*E39</f>
        <v>-11621.903301027944</v>
      </c>
      <c r="J39" s="944">
        <f>PMT(G39,12,L$36)</f>
        <v>155943.7235272917</v>
      </c>
      <c r="K39" s="944"/>
      <c r="L39" s="944">
        <f>(+E39+E39*G39-J39)*-1</f>
        <v>-1650566.7204730329</v>
      </c>
    </row>
    <row r="40" spans="2:12" ht="15.75">
      <c r="B40" s="923" t="s">
        <v>567</v>
      </c>
      <c r="C40" s="923" t="str">
        <f>+C39</f>
        <v>Year 2025</v>
      </c>
      <c r="D40" s="923"/>
      <c r="E40" s="930">
        <f>-L39</f>
        <v>1650566.7204730329</v>
      </c>
      <c r="F40" s="930"/>
      <c r="G40" s="1456">
        <f>+G39</f>
        <v>6.4749999999999981E-3</v>
      </c>
      <c r="H40" s="1312" t="s">
        <v>406</v>
      </c>
      <c r="I40" s="944">
        <f xml:space="preserve"> -G40*E40</f>
        <v>-10687.419515062886</v>
      </c>
      <c r="J40" s="944">
        <f>J39</f>
        <v>155943.7235272917</v>
      </c>
      <c r="K40" s="944"/>
      <c r="L40" s="944">
        <f t="shared" ref="L40:L50" si="5">(+E40+E40*G40-J40)*-1</f>
        <v>-1505310.4164608039</v>
      </c>
    </row>
    <row r="41" spans="2:12" ht="15.75">
      <c r="B41" s="923" t="s">
        <v>568</v>
      </c>
      <c r="C41" s="923" t="str">
        <f>+C40</f>
        <v>Year 2025</v>
      </c>
      <c r="D41" s="923"/>
      <c r="E41" s="930">
        <f t="shared" ref="E41:E50" si="6">-L40</f>
        <v>1505310.4164608039</v>
      </c>
      <c r="F41" s="930"/>
      <c r="G41" s="1456">
        <f t="shared" ref="G41:G50" si="7">+G40</f>
        <v>6.4749999999999981E-3</v>
      </c>
      <c r="H41" s="1312" t="s">
        <v>406</v>
      </c>
      <c r="I41" s="944">
        <f t="shared" ref="I41:I50" si="8" xml:space="preserve"> -G41*E41</f>
        <v>-9746.8849465837029</v>
      </c>
      <c r="J41" s="944">
        <f t="shared" ref="J41:J50" si="9">J40</f>
        <v>155943.7235272917</v>
      </c>
      <c r="K41" s="944"/>
      <c r="L41" s="944">
        <f t="shared" si="5"/>
        <v>-1359113.5778800959</v>
      </c>
    </row>
    <row r="42" spans="2:12" ht="15.75">
      <c r="B42" s="923" t="s">
        <v>569</v>
      </c>
      <c r="C42" s="923" t="str">
        <f>+C41</f>
        <v>Year 2025</v>
      </c>
      <c r="D42" s="923"/>
      <c r="E42" s="930">
        <f t="shared" si="6"/>
        <v>1359113.5778800959</v>
      </c>
      <c r="F42" s="930"/>
      <c r="G42" s="1456">
        <f t="shared" si="7"/>
        <v>6.4749999999999981E-3</v>
      </c>
      <c r="H42" s="1312" t="s">
        <v>406</v>
      </c>
      <c r="I42" s="944">
        <f t="shared" si="8"/>
        <v>-8800.260416773619</v>
      </c>
      <c r="J42" s="944">
        <f t="shared" si="9"/>
        <v>155943.7235272917</v>
      </c>
      <c r="K42" s="944"/>
      <c r="L42" s="944">
        <f t="shared" si="5"/>
        <v>-1211970.1147695777</v>
      </c>
    </row>
    <row r="43" spans="2:12" ht="15.75">
      <c r="B43" s="923" t="s">
        <v>570</v>
      </c>
      <c r="C43" s="923" t="str">
        <f>+C42</f>
        <v>Year 2025</v>
      </c>
      <c r="D43" s="923"/>
      <c r="E43" s="930">
        <f t="shared" si="6"/>
        <v>1211970.1147695777</v>
      </c>
      <c r="F43" s="930"/>
      <c r="G43" s="1456">
        <f t="shared" si="7"/>
        <v>6.4749999999999981E-3</v>
      </c>
      <c r="H43" s="1312" t="s">
        <v>406</v>
      </c>
      <c r="I43" s="944">
        <f t="shared" si="8"/>
        <v>-7847.5064931330135</v>
      </c>
      <c r="J43" s="944">
        <f>J42</f>
        <v>155943.7235272917</v>
      </c>
      <c r="K43" s="944"/>
      <c r="L43" s="944">
        <f t="shared" si="5"/>
        <v>-1063873.897735419</v>
      </c>
    </row>
    <row r="44" spans="2:12" ht="15.75">
      <c r="B44" s="923" t="s">
        <v>571</v>
      </c>
      <c r="C44" s="923" t="str">
        <f>C43</f>
        <v>Year 2025</v>
      </c>
      <c r="D44" s="393"/>
      <c r="E44" s="930">
        <f t="shared" si="6"/>
        <v>1063873.897735419</v>
      </c>
      <c r="F44" s="930"/>
      <c r="G44" s="1456">
        <f t="shared" si="7"/>
        <v>6.4749999999999981E-3</v>
      </c>
      <c r="H44" s="1312" t="s">
        <v>406</v>
      </c>
      <c r="I44" s="944">
        <f t="shared" si="8"/>
        <v>-6888.583487836836</v>
      </c>
      <c r="J44" s="944">
        <f t="shared" si="9"/>
        <v>155943.7235272917</v>
      </c>
      <c r="K44" s="944"/>
      <c r="L44" s="944">
        <f t="shared" si="5"/>
        <v>-914818.75769596419</v>
      </c>
    </row>
    <row r="45" spans="2:12" ht="15.75">
      <c r="B45" s="923" t="s">
        <v>572</v>
      </c>
      <c r="C45" s="923" t="str">
        <f t="shared" ref="C45:C50" si="10">+C44</f>
        <v>Year 2025</v>
      </c>
      <c r="D45" s="923"/>
      <c r="E45" s="930">
        <f t="shared" si="6"/>
        <v>914818.75769596419</v>
      </c>
      <c r="F45" s="930"/>
      <c r="G45" s="1456">
        <f t="shared" si="7"/>
        <v>6.4749999999999981E-3</v>
      </c>
      <c r="H45" s="1312" t="s">
        <v>406</v>
      </c>
      <c r="I45" s="944">
        <f t="shared" si="8"/>
        <v>-5923.4514560813668</v>
      </c>
      <c r="J45" s="944">
        <f t="shared" si="9"/>
        <v>155943.7235272917</v>
      </c>
      <c r="K45" s="944"/>
      <c r="L45" s="944">
        <f t="shared" si="5"/>
        <v>-764798.48562475387</v>
      </c>
    </row>
    <row r="46" spans="2:12" ht="15.75">
      <c r="B46" s="923" t="s">
        <v>573</v>
      </c>
      <c r="C46" s="923" t="str">
        <f t="shared" si="10"/>
        <v>Year 2025</v>
      </c>
      <c r="D46" s="923"/>
      <c r="E46" s="930">
        <f t="shared" si="6"/>
        <v>764798.48562475387</v>
      </c>
      <c r="F46" s="930"/>
      <c r="G46" s="1456">
        <f t="shared" si="7"/>
        <v>6.4749999999999981E-3</v>
      </c>
      <c r="H46" s="1312" t="s">
        <v>406</v>
      </c>
      <c r="I46" s="944">
        <f t="shared" si="8"/>
        <v>-4952.0701944202801</v>
      </c>
      <c r="J46" s="944">
        <f t="shared" si="9"/>
        <v>155943.7235272917</v>
      </c>
      <c r="K46" s="944"/>
      <c r="L46" s="944">
        <f t="shared" si="5"/>
        <v>-613806.83229188249</v>
      </c>
    </row>
    <row r="47" spans="2:12" ht="15.75">
      <c r="B47" s="923" t="s">
        <v>574</v>
      </c>
      <c r="C47" s="923" t="str">
        <f t="shared" si="10"/>
        <v>Year 2025</v>
      </c>
      <c r="D47" s="923"/>
      <c r="E47" s="930">
        <f t="shared" si="6"/>
        <v>613806.83229188249</v>
      </c>
      <c r="F47" s="930"/>
      <c r="G47" s="1456">
        <f t="shared" si="7"/>
        <v>6.4749999999999981E-3</v>
      </c>
      <c r="H47" s="1312" t="s">
        <v>406</v>
      </c>
      <c r="I47" s="944">
        <f t="shared" si="8"/>
        <v>-3974.399239089938</v>
      </c>
      <c r="J47" s="944">
        <f>J46</f>
        <v>155943.7235272917</v>
      </c>
      <c r="K47" s="944"/>
      <c r="L47" s="944">
        <f t="shared" si="5"/>
        <v>-461837.50800368073</v>
      </c>
    </row>
    <row r="48" spans="2:12" ht="15.75">
      <c r="B48" s="923" t="s">
        <v>575</v>
      </c>
      <c r="C48" s="923" t="str">
        <f t="shared" si="10"/>
        <v>Year 2025</v>
      </c>
      <c r="D48" s="923"/>
      <c r="E48" s="930">
        <f t="shared" si="6"/>
        <v>461837.50800368073</v>
      </c>
      <c r="F48" s="930"/>
      <c r="G48" s="1456">
        <f t="shared" si="7"/>
        <v>6.4749999999999981E-3</v>
      </c>
      <c r="H48" s="1312" t="s">
        <v>406</v>
      </c>
      <c r="I48" s="944">
        <f t="shared" si="8"/>
        <v>-2990.397864323832</v>
      </c>
      <c r="J48" s="944">
        <f t="shared" si="9"/>
        <v>155943.7235272917</v>
      </c>
      <c r="K48" s="944"/>
      <c r="L48" s="944">
        <f t="shared" si="5"/>
        <v>-308884.18234071287</v>
      </c>
    </row>
    <row r="49" spans="2:12" ht="15.75">
      <c r="B49" s="923" t="s">
        <v>576</v>
      </c>
      <c r="C49" s="923" t="str">
        <f t="shared" si="10"/>
        <v>Year 2025</v>
      </c>
      <c r="D49" s="923"/>
      <c r="E49" s="930">
        <f t="shared" si="6"/>
        <v>308884.18234071287</v>
      </c>
      <c r="F49" s="930"/>
      <c r="G49" s="1456">
        <f t="shared" si="7"/>
        <v>6.4749999999999981E-3</v>
      </c>
      <c r="H49" s="1312" t="s">
        <v>406</v>
      </c>
      <c r="I49" s="944">
        <f t="shared" si="8"/>
        <v>-2000.0250806561153</v>
      </c>
      <c r="J49" s="944">
        <f t="shared" si="9"/>
        <v>155943.7235272917</v>
      </c>
      <c r="K49" s="944"/>
      <c r="L49" s="944">
        <f t="shared" si="5"/>
        <v>-154940.48389407728</v>
      </c>
    </row>
    <row r="50" spans="2:12" ht="15.75">
      <c r="B50" s="923" t="s">
        <v>577</v>
      </c>
      <c r="C50" s="923" t="str">
        <f t="shared" si="10"/>
        <v>Year 2025</v>
      </c>
      <c r="D50" s="923"/>
      <c r="E50" s="930">
        <f t="shared" si="6"/>
        <v>154940.48389407728</v>
      </c>
      <c r="F50" s="930"/>
      <c r="G50" s="1456">
        <f t="shared" si="7"/>
        <v>6.4749999999999981E-3</v>
      </c>
      <c r="H50" s="1312" t="s">
        <v>406</v>
      </c>
      <c r="I50" s="946">
        <f t="shared" si="8"/>
        <v>-1003.2396332141501</v>
      </c>
      <c r="J50" s="944">
        <f t="shared" si="9"/>
        <v>155943.7235272917</v>
      </c>
      <c r="K50" s="944"/>
      <c r="L50" s="944">
        <f t="shared" si="5"/>
        <v>2.9103830456733704E-10</v>
      </c>
    </row>
    <row r="51" spans="2:12" ht="15.75">
      <c r="B51" s="923"/>
      <c r="C51" s="923"/>
      <c r="D51" s="923"/>
      <c r="E51" s="930"/>
      <c r="F51" s="930"/>
      <c r="G51" s="945"/>
      <c r="H51" s="923"/>
      <c r="I51" s="944">
        <f>SUM(I39:I50)</f>
        <v>-76436.141628203681</v>
      </c>
      <c r="J51" s="944"/>
      <c r="K51" s="944"/>
      <c r="L51" s="944"/>
    </row>
    <row r="52" spans="2:12" ht="15">
      <c r="B52" s="393"/>
      <c r="C52" s="393"/>
      <c r="D52" s="393"/>
      <c r="E52" s="393"/>
      <c r="F52" s="393"/>
      <c r="G52" s="393"/>
      <c r="H52" s="393"/>
      <c r="I52" s="393"/>
      <c r="J52" s="950"/>
      <c r="K52" s="393"/>
      <c r="L52" s="393"/>
    </row>
    <row r="53" spans="2:12" ht="15.75">
      <c r="B53" s="923" t="s">
        <v>581</v>
      </c>
      <c r="C53" s="393"/>
      <c r="D53" s="393"/>
      <c r="E53" s="393"/>
      <c r="F53" s="393"/>
      <c r="G53" s="393"/>
      <c r="H53" s="393"/>
      <c r="I53" s="393"/>
      <c r="J53" s="951">
        <f>(SUM(J39:J50)*-1)</f>
        <v>-1871324.6823275008</v>
      </c>
      <c r="K53" s="393"/>
      <c r="L53" s="393"/>
    </row>
    <row r="54" spans="2:12" ht="15.75">
      <c r="B54" s="923" t="s">
        <v>582</v>
      </c>
      <c r="C54" s="393"/>
      <c r="D54" s="393"/>
      <c r="E54" s="393"/>
      <c r="F54" s="393"/>
      <c r="G54" s="393"/>
      <c r="H54" s="393"/>
      <c r="I54" s="393"/>
      <c r="J54" s="952">
        <f>+I10</f>
        <v>1598215.7841908447</v>
      </c>
      <c r="K54" s="393"/>
      <c r="L54" s="393"/>
    </row>
    <row r="55" spans="2:12" ht="15.75">
      <c r="B55" s="923" t="s">
        <v>583</v>
      </c>
      <c r="C55" s="393"/>
      <c r="D55" s="393"/>
      <c r="E55" s="393"/>
      <c r="F55" s="393"/>
      <c r="G55" s="393"/>
      <c r="H55" s="393"/>
      <c r="I55" s="393"/>
      <c r="J55" s="951">
        <f>(J53+J54)</f>
        <v>-273108.89813665603</v>
      </c>
      <c r="K55" s="393"/>
      <c r="L55" s="393"/>
    </row>
    <row r="56" spans="2:12">
      <c r="B56" s="392"/>
      <c r="C56" s="392"/>
      <c r="D56" s="392"/>
      <c r="E56" s="392"/>
      <c r="F56" s="392"/>
      <c r="G56" s="392"/>
      <c r="H56" s="392"/>
      <c r="I56" s="392"/>
      <c r="J56" s="392"/>
      <c r="K56" s="392"/>
      <c r="L56" s="392"/>
    </row>
    <row r="57" spans="2:12" ht="80.25" customHeight="1">
      <c r="B57" s="1580" t="s">
        <v>584</v>
      </c>
      <c r="C57" s="1580"/>
      <c r="D57" s="1580"/>
      <c r="E57" s="1580"/>
      <c r="F57" s="1580"/>
      <c r="G57" s="1580"/>
      <c r="H57" s="1313"/>
      <c r="I57" s="1313"/>
      <c r="J57" s="1313"/>
      <c r="K57" s="1313"/>
      <c r="L57" s="1313"/>
    </row>
  </sheetData>
  <mergeCells count="5">
    <mergeCell ref="B3:L3"/>
    <mergeCell ref="B1:L1"/>
    <mergeCell ref="B2:L2"/>
    <mergeCell ref="E4:H4"/>
    <mergeCell ref="B57:G57"/>
  </mergeCells>
  <pageMargins left="0.7" right="0.7" top="0.75" bottom="0.75" header="0.3" footer="0.3"/>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7"/>
  <sheetViews>
    <sheetView view="pageBreakPreview" topLeftCell="A28" zoomScale="60" zoomScaleNormal="100" workbookViewId="0">
      <selection activeCell="G21" sqref="G21:G50"/>
    </sheetView>
  </sheetViews>
  <sheetFormatPr defaultColWidth="8.85546875" defaultRowHeight="12.75"/>
  <cols>
    <col min="1" max="1" width="8.85546875" style="173"/>
    <col min="2" max="2" width="31.57031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78" t="s">
        <v>608</v>
      </c>
      <c r="C1" s="1578"/>
      <c r="D1" s="1578"/>
      <c r="E1" s="1578"/>
      <c r="F1" s="1578"/>
      <c r="G1" s="1578"/>
      <c r="H1" s="1578"/>
      <c r="I1" s="1578"/>
      <c r="J1" s="1578"/>
      <c r="K1" s="1578"/>
      <c r="L1" s="1578"/>
    </row>
    <row r="2" spans="2:12" ht="15.75">
      <c r="B2" s="1579" t="s">
        <v>555</v>
      </c>
      <c r="C2" s="1579"/>
      <c r="D2" s="1579"/>
      <c r="E2" s="1579"/>
      <c r="F2" s="1579"/>
      <c r="G2" s="1579"/>
      <c r="H2" s="1579"/>
      <c r="I2" s="1579"/>
      <c r="J2" s="1579"/>
      <c r="K2" s="1579"/>
      <c r="L2" s="1579"/>
    </row>
    <row r="3" spans="2:12" ht="18">
      <c r="B3" s="1577" t="s">
        <v>585</v>
      </c>
      <c r="C3" s="1577"/>
      <c r="D3" s="1577"/>
      <c r="E3" s="1577"/>
      <c r="F3" s="1577"/>
      <c r="G3" s="1577"/>
      <c r="H3" s="1577"/>
      <c r="I3" s="1577"/>
      <c r="J3" s="1577"/>
      <c r="K3" s="1577"/>
      <c r="L3" s="1577"/>
    </row>
    <row r="4" spans="2:12" ht="15.75">
      <c r="B4" s="393"/>
      <c r="C4" s="393"/>
      <c r="D4" s="393"/>
      <c r="E4" s="1579"/>
      <c r="F4" s="1579"/>
      <c r="G4" s="1579"/>
      <c r="H4" s="1579"/>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67.5" customHeight="1">
      <c r="B8" s="1398" t="str">
        <f>'WS R Interest'!B8</f>
        <v>Reconciliation Revenue Requirement For Year 2023 Available May 25, 2024</v>
      </c>
      <c r="C8" s="1399"/>
      <c r="D8" s="1399"/>
      <c r="E8" s="1398" t="s">
        <v>981</v>
      </c>
      <c r="F8" s="923"/>
      <c r="G8" s="923"/>
      <c r="H8" s="393"/>
      <c r="I8" s="1307" t="s">
        <v>557</v>
      </c>
      <c r="J8" s="393"/>
      <c r="K8" s="393"/>
      <c r="L8" s="1308" t="s">
        <v>406</v>
      </c>
    </row>
    <row r="9" spans="2:12" ht="15.75">
      <c r="B9" s="924" t="s">
        <v>406</v>
      </c>
      <c r="C9" s="923"/>
      <c r="D9" s="923"/>
      <c r="E9" s="924"/>
      <c r="F9" s="923"/>
      <c r="G9" s="923"/>
      <c r="H9" s="393"/>
      <c r="I9" s="925"/>
      <c r="J9" s="393"/>
      <c r="K9" s="393"/>
      <c r="L9" s="1309"/>
    </row>
    <row r="10" spans="2:12" ht="24" thickBot="1">
      <c r="B10" s="921">
        <v>68611.400000000009</v>
      </c>
      <c r="C10" s="1310" t="str">
        <f>"-"</f>
        <v>-</v>
      </c>
      <c r="D10" s="926"/>
      <c r="E10" s="921">
        <v>64467.933911229396</v>
      </c>
      <c r="F10" s="927"/>
      <c r="G10" s="1311" t="str">
        <f>"="</f>
        <v>=</v>
      </c>
      <c r="H10" s="928"/>
      <c r="I10" s="929">
        <f>IF(B10=0,0,E10-B10)</f>
        <v>-4143.4660887706123</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802</v>
      </c>
      <c r="C14" s="931"/>
      <c r="D14" s="931"/>
      <c r="E14" s="937" t="s">
        <v>558</v>
      </c>
      <c r="F14" s="930"/>
      <c r="G14" s="937" t="s">
        <v>559</v>
      </c>
      <c r="H14" s="938" t="s">
        <v>560</v>
      </c>
      <c r="I14" s="939" t="s">
        <v>561</v>
      </c>
      <c r="J14" s="937" t="s">
        <v>562</v>
      </c>
      <c r="K14" s="940"/>
      <c r="L14" s="937" t="s">
        <v>563</v>
      </c>
    </row>
    <row r="15" spans="2:12" ht="15.75">
      <c r="B15" s="936" t="s">
        <v>803</v>
      </c>
      <c r="C15" s="931"/>
      <c r="D15" s="931"/>
      <c r="E15" s="393"/>
      <c r="F15" s="941"/>
      <c r="G15" s="953">
        <v>6.4749999999999981E-3</v>
      </c>
      <c r="I15" s="393"/>
      <c r="J15" s="393"/>
      <c r="K15" s="393"/>
      <c r="L15" s="393"/>
    </row>
    <row r="16" spans="2:12" ht="15.75">
      <c r="B16" s="936"/>
      <c r="C16" s="931"/>
      <c r="D16" s="931"/>
      <c r="E16" s="393"/>
      <c r="F16" s="941"/>
      <c r="G16" s="941"/>
      <c r="H16" s="930"/>
      <c r="I16" s="393"/>
      <c r="J16" s="393"/>
      <c r="K16" s="393"/>
      <c r="L16" s="393"/>
    </row>
    <row r="17" spans="2:12" ht="15.75">
      <c r="B17" s="936" t="str">
        <f>'WS R Interest'!B17</f>
        <v>An over or under collection will be recovered prorata over 2023, held for 2024 and returned prorate over 2025</v>
      </c>
      <c r="C17" s="931"/>
      <c r="D17" s="931"/>
      <c r="E17" s="393"/>
      <c r="F17" s="941"/>
      <c r="G17" s="941"/>
      <c r="H17" s="930"/>
      <c r="I17" s="393"/>
      <c r="J17" s="393"/>
      <c r="K17" s="393"/>
      <c r="L17" s="393"/>
    </row>
    <row r="18" spans="2:12" ht="15.75">
      <c r="B18" s="942" t="s">
        <v>406</v>
      </c>
      <c r="C18" s="931"/>
      <c r="D18" s="931"/>
      <c r="E18" s="931"/>
      <c r="F18" s="931"/>
      <c r="G18" s="1454" t="s">
        <v>406</v>
      </c>
      <c r="H18" s="393"/>
      <c r="I18" s="393"/>
      <c r="J18" s="393"/>
      <c r="K18" s="393"/>
      <c r="L18" s="393"/>
    </row>
    <row r="19" spans="2:12" ht="15.75">
      <c r="B19" s="943"/>
      <c r="C19" s="931"/>
      <c r="D19" s="931"/>
      <c r="E19" s="931"/>
      <c r="F19" s="931"/>
      <c r="G19" s="1455"/>
      <c r="H19" s="393"/>
      <c r="I19" s="938"/>
      <c r="J19" s="931"/>
      <c r="K19" s="931"/>
      <c r="L19" s="931"/>
    </row>
    <row r="20" spans="2:12" ht="15.75">
      <c r="B20" s="943" t="s">
        <v>564</v>
      </c>
      <c r="C20" s="931"/>
      <c r="D20" s="931"/>
      <c r="E20" s="931"/>
      <c r="F20" s="931"/>
      <c r="G20" s="1455"/>
      <c r="H20" s="393"/>
      <c r="I20" s="938" t="s">
        <v>565</v>
      </c>
      <c r="J20" s="931"/>
      <c r="K20" s="931"/>
      <c r="L20" s="931"/>
    </row>
    <row r="21" spans="2:12" ht="15.75">
      <c r="B21" s="923" t="s">
        <v>566</v>
      </c>
      <c r="C21" s="923" t="str">
        <f>"Year "&amp;TCOS!L4-2</f>
        <v>Year 2023</v>
      </c>
      <c r="D21" s="923"/>
      <c r="E21" s="944">
        <f>I10/12</f>
        <v>-345.28884073088437</v>
      </c>
      <c r="F21" s="944"/>
      <c r="G21" s="1456">
        <f>G15</f>
        <v>6.4749999999999981E-3</v>
      </c>
      <c r="H21" s="1312">
        <v>12</v>
      </c>
      <c r="I21" s="944">
        <f>G21*E21*H21*-1</f>
        <v>26.828942924789708</v>
      </c>
      <c r="J21" s="944"/>
      <c r="K21" s="944"/>
      <c r="L21" s="944">
        <f>(-I21+E21)*-1</f>
        <v>372.11778365567409</v>
      </c>
    </row>
    <row r="22" spans="2:12" ht="15.75">
      <c r="B22" s="923" t="s">
        <v>567</v>
      </c>
      <c r="C22" s="923" t="str">
        <f>C21</f>
        <v>Year 2023</v>
      </c>
      <c r="D22" s="923"/>
      <c r="E22" s="944">
        <f>+E21</f>
        <v>-345.28884073088437</v>
      </c>
      <c r="F22" s="944"/>
      <c r="G22" s="1456">
        <f>+G21</f>
        <v>6.4749999999999981E-3</v>
      </c>
      <c r="H22" s="1312">
        <f t="shared" ref="H22:H32" si="0">+H21-1</f>
        <v>11</v>
      </c>
      <c r="I22" s="944">
        <f t="shared" ref="I22:I32" si="1">G22*E22*H22*-1</f>
        <v>24.593197681057234</v>
      </c>
      <c r="J22" s="944"/>
      <c r="K22" s="944"/>
      <c r="L22" s="944">
        <f t="shared" ref="L22:L32" si="2">(-I22+E22)*-1</f>
        <v>369.88203841194161</v>
      </c>
    </row>
    <row r="23" spans="2:12" ht="15.75">
      <c r="B23" s="923" t="s">
        <v>568</v>
      </c>
      <c r="C23" s="923" t="str">
        <f>C21</f>
        <v>Year 2023</v>
      </c>
      <c r="D23" s="923"/>
      <c r="E23" s="944">
        <f t="shared" ref="E23:E32" si="3">+E22</f>
        <v>-345.28884073088437</v>
      </c>
      <c r="F23" s="944"/>
      <c r="G23" s="1456">
        <f t="shared" ref="G23:G32" si="4">+G22</f>
        <v>6.4749999999999981E-3</v>
      </c>
      <c r="H23" s="1312">
        <f t="shared" si="0"/>
        <v>10</v>
      </c>
      <c r="I23" s="944">
        <f t="shared" si="1"/>
        <v>22.357452437324756</v>
      </c>
      <c r="J23" s="944"/>
      <c r="K23" s="944"/>
      <c r="L23" s="944">
        <f t="shared" si="2"/>
        <v>367.64629316820913</v>
      </c>
    </row>
    <row r="24" spans="2:12" ht="15.75">
      <c r="B24" s="923" t="s">
        <v>569</v>
      </c>
      <c r="C24" s="923" t="str">
        <f>C21</f>
        <v>Year 2023</v>
      </c>
      <c r="D24" s="923"/>
      <c r="E24" s="944">
        <f t="shared" si="3"/>
        <v>-345.28884073088437</v>
      </c>
      <c r="F24" s="944"/>
      <c r="G24" s="1456">
        <f t="shared" si="4"/>
        <v>6.4749999999999981E-3</v>
      </c>
      <c r="H24" s="1312">
        <f t="shared" si="0"/>
        <v>9</v>
      </c>
      <c r="I24" s="944">
        <f t="shared" si="1"/>
        <v>20.121707193592279</v>
      </c>
      <c r="J24" s="944"/>
      <c r="K24" s="944"/>
      <c r="L24" s="944">
        <f t="shared" si="2"/>
        <v>365.41054792447665</v>
      </c>
    </row>
    <row r="25" spans="2:12" ht="15.75">
      <c r="B25" s="923" t="s">
        <v>570</v>
      </c>
      <c r="C25" s="923" t="str">
        <f>C21</f>
        <v>Year 2023</v>
      </c>
      <c r="D25" s="923"/>
      <c r="E25" s="944">
        <f t="shared" si="3"/>
        <v>-345.28884073088437</v>
      </c>
      <c r="F25" s="944"/>
      <c r="G25" s="1456">
        <f t="shared" si="4"/>
        <v>6.4749999999999981E-3</v>
      </c>
      <c r="H25" s="1312">
        <f t="shared" si="0"/>
        <v>8</v>
      </c>
      <c r="I25" s="944">
        <f t="shared" si="1"/>
        <v>17.885961949859805</v>
      </c>
      <c r="J25" s="944"/>
      <c r="K25" s="944"/>
      <c r="L25" s="944">
        <f t="shared" si="2"/>
        <v>363.17480268074416</v>
      </c>
    </row>
    <row r="26" spans="2:12" ht="15.75">
      <c r="B26" s="923" t="s">
        <v>571</v>
      </c>
      <c r="C26" s="923" t="str">
        <f>C21</f>
        <v>Year 2023</v>
      </c>
      <c r="D26" s="923"/>
      <c r="E26" s="944">
        <f t="shared" si="3"/>
        <v>-345.28884073088437</v>
      </c>
      <c r="F26" s="944"/>
      <c r="G26" s="1456">
        <f t="shared" si="4"/>
        <v>6.4749999999999981E-3</v>
      </c>
      <c r="H26" s="1312">
        <f t="shared" si="0"/>
        <v>7</v>
      </c>
      <c r="I26" s="944">
        <f t="shared" si="1"/>
        <v>15.650216706127329</v>
      </c>
      <c r="J26" s="944"/>
      <c r="K26" s="944"/>
      <c r="L26" s="944">
        <f t="shared" si="2"/>
        <v>360.93905743701168</v>
      </c>
    </row>
    <row r="27" spans="2:12" ht="15.75">
      <c r="B27" s="923" t="s">
        <v>572</v>
      </c>
      <c r="C27" s="923" t="str">
        <f>C21</f>
        <v>Year 2023</v>
      </c>
      <c r="D27" s="923"/>
      <c r="E27" s="944">
        <f t="shared" si="3"/>
        <v>-345.28884073088437</v>
      </c>
      <c r="F27" s="944"/>
      <c r="G27" s="1456">
        <f t="shared" si="4"/>
        <v>6.4749999999999981E-3</v>
      </c>
      <c r="H27" s="1312">
        <f t="shared" si="0"/>
        <v>6</v>
      </c>
      <c r="I27" s="944">
        <f t="shared" si="1"/>
        <v>13.414471462394854</v>
      </c>
      <c r="J27" s="944"/>
      <c r="K27" s="944"/>
      <c r="L27" s="944">
        <f t="shared" si="2"/>
        <v>358.7033121932792</v>
      </c>
    </row>
    <row r="28" spans="2:12" ht="15.75">
      <c r="B28" s="923" t="s">
        <v>573</v>
      </c>
      <c r="C28" s="923" t="str">
        <f>C21</f>
        <v>Year 2023</v>
      </c>
      <c r="D28" s="923"/>
      <c r="E28" s="944">
        <f t="shared" si="3"/>
        <v>-345.28884073088437</v>
      </c>
      <c r="F28" s="944"/>
      <c r="G28" s="1456">
        <f t="shared" si="4"/>
        <v>6.4749999999999981E-3</v>
      </c>
      <c r="H28" s="1312">
        <f t="shared" si="0"/>
        <v>5</v>
      </c>
      <c r="I28" s="944">
        <f t="shared" si="1"/>
        <v>11.178726218662378</v>
      </c>
      <c r="J28" s="944"/>
      <c r="K28" s="944"/>
      <c r="L28" s="944">
        <f t="shared" si="2"/>
        <v>356.46756694954678</v>
      </c>
    </row>
    <row r="29" spans="2:12" ht="15.75">
      <c r="B29" s="923" t="s">
        <v>574</v>
      </c>
      <c r="C29" s="923" t="str">
        <f>C21</f>
        <v>Year 2023</v>
      </c>
      <c r="D29" s="923"/>
      <c r="E29" s="944">
        <f t="shared" si="3"/>
        <v>-345.28884073088437</v>
      </c>
      <c r="F29" s="944"/>
      <c r="G29" s="1456">
        <f t="shared" si="4"/>
        <v>6.4749999999999981E-3</v>
      </c>
      <c r="H29" s="1312">
        <f t="shared" si="0"/>
        <v>4</v>
      </c>
      <c r="I29" s="944">
        <f t="shared" si="1"/>
        <v>8.9429809749299025</v>
      </c>
      <c r="J29" s="944"/>
      <c r="K29" s="944"/>
      <c r="L29" s="944">
        <f t="shared" si="2"/>
        <v>354.2318217058143</v>
      </c>
    </row>
    <row r="30" spans="2:12" ht="15.75">
      <c r="B30" s="923" t="s">
        <v>575</v>
      </c>
      <c r="C30" s="923" t="str">
        <f>C21</f>
        <v>Year 2023</v>
      </c>
      <c r="D30" s="923"/>
      <c r="E30" s="944">
        <f t="shared" si="3"/>
        <v>-345.28884073088437</v>
      </c>
      <c r="F30" s="944"/>
      <c r="G30" s="1456">
        <f t="shared" si="4"/>
        <v>6.4749999999999981E-3</v>
      </c>
      <c r="H30" s="1312">
        <f t="shared" si="0"/>
        <v>3</v>
      </c>
      <c r="I30" s="944">
        <f t="shared" si="1"/>
        <v>6.7072357311974269</v>
      </c>
      <c r="J30" s="944"/>
      <c r="K30" s="944"/>
      <c r="L30" s="944">
        <f t="shared" si="2"/>
        <v>351.99607646208182</v>
      </c>
    </row>
    <row r="31" spans="2:12" ht="15.75">
      <c r="B31" s="923" t="s">
        <v>576</v>
      </c>
      <c r="C31" s="923" t="str">
        <f>C21</f>
        <v>Year 2023</v>
      </c>
      <c r="D31" s="923"/>
      <c r="E31" s="944">
        <f t="shared" si="3"/>
        <v>-345.28884073088437</v>
      </c>
      <c r="F31" s="944"/>
      <c r="G31" s="1456">
        <f t="shared" si="4"/>
        <v>6.4749999999999981E-3</v>
      </c>
      <c r="H31" s="1312">
        <f t="shared" si="0"/>
        <v>2</v>
      </c>
      <c r="I31" s="944">
        <f t="shared" si="1"/>
        <v>4.4714904874649513</v>
      </c>
      <c r="J31" s="944"/>
      <c r="K31" s="944"/>
      <c r="L31" s="944">
        <f t="shared" si="2"/>
        <v>349.76033121834934</v>
      </c>
    </row>
    <row r="32" spans="2:12" ht="15.75">
      <c r="B32" s="923" t="s">
        <v>577</v>
      </c>
      <c r="C32" s="923" t="str">
        <f>C21</f>
        <v>Year 2023</v>
      </c>
      <c r="D32" s="923"/>
      <c r="E32" s="944">
        <f t="shared" si="3"/>
        <v>-345.28884073088437</v>
      </c>
      <c r="F32" s="944"/>
      <c r="G32" s="1456">
        <f t="shared" si="4"/>
        <v>6.4749999999999981E-3</v>
      </c>
      <c r="H32" s="1312">
        <f t="shared" si="0"/>
        <v>1</v>
      </c>
      <c r="I32" s="946">
        <f t="shared" si="1"/>
        <v>2.2357452437324756</v>
      </c>
      <c r="J32" s="944"/>
      <c r="K32" s="944"/>
      <c r="L32" s="944">
        <f t="shared" si="2"/>
        <v>347.52458597461685</v>
      </c>
    </row>
    <row r="33" spans="2:12" ht="15.75">
      <c r="B33" s="923"/>
      <c r="C33" s="923"/>
      <c r="D33" s="923"/>
      <c r="E33" s="944"/>
      <c r="F33" s="944"/>
      <c r="G33" s="1456"/>
      <c r="H33" s="923"/>
      <c r="I33" s="944">
        <f>SUM(I21:I32)</f>
        <v>174.38812901113309</v>
      </c>
      <c r="J33" s="944"/>
      <c r="K33" s="944"/>
      <c r="L33" s="947">
        <f>SUM(L21:L32)</f>
        <v>4317.8542177817453</v>
      </c>
    </row>
    <row r="34" spans="2:12" ht="15.75">
      <c r="B34" s="923"/>
      <c r="C34" s="923"/>
      <c r="D34" s="923"/>
      <c r="E34" s="944"/>
      <c r="F34" s="944"/>
      <c r="G34" s="1456"/>
      <c r="H34" s="923"/>
      <c r="I34" s="944"/>
      <c r="J34" s="944" t="s">
        <v>406</v>
      </c>
      <c r="K34" s="944"/>
      <c r="L34" s="393"/>
    </row>
    <row r="35" spans="2:12" ht="15.75">
      <c r="B35" s="923"/>
      <c r="C35" s="923"/>
      <c r="D35" s="923"/>
      <c r="E35" s="930"/>
      <c r="F35" s="930"/>
      <c r="G35" s="1456"/>
      <c r="H35" s="923"/>
      <c r="I35" s="948" t="s">
        <v>578</v>
      </c>
      <c r="J35" s="944"/>
      <c r="K35" s="944"/>
      <c r="L35" s="944"/>
    </row>
    <row r="36" spans="2:12" ht="15.75">
      <c r="B36" s="923" t="s">
        <v>579</v>
      </c>
      <c r="C36" s="923" t="str">
        <f>"Year "&amp;TCOS!L4-1</f>
        <v>Year 2024</v>
      </c>
      <c r="D36" s="923"/>
      <c r="E36" s="930">
        <f>L33</f>
        <v>4317.8542177817453</v>
      </c>
      <c r="F36" s="930"/>
      <c r="G36" s="1456">
        <f>G32</f>
        <v>6.4749999999999981E-3</v>
      </c>
      <c r="H36" s="1312">
        <v>12</v>
      </c>
      <c r="I36" s="944">
        <f>+H36*G36*E36</f>
        <v>335.49727272164154</v>
      </c>
      <c r="J36" s="944"/>
      <c r="K36" s="944"/>
      <c r="L36" s="947">
        <f>+E36+I36</f>
        <v>4653.3514905033871</v>
      </c>
    </row>
    <row r="37" spans="2:12" ht="15.75">
      <c r="B37" s="923"/>
      <c r="C37" s="923"/>
      <c r="D37" s="923"/>
      <c r="E37" s="930"/>
      <c r="F37" s="930"/>
      <c r="G37" s="1456"/>
      <c r="H37" s="923"/>
      <c r="I37" s="944"/>
      <c r="J37" s="944"/>
      <c r="K37" s="944"/>
      <c r="L37" s="944"/>
    </row>
    <row r="38" spans="2:12" ht="15.75">
      <c r="B38" s="949" t="s">
        <v>580</v>
      </c>
      <c r="C38" s="923"/>
      <c r="D38" s="923"/>
      <c r="E38" s="944"/>
      <c r="F38" s="944"/>
      <c r="G38" s="1456"/>
      <c r="H38" s="923"/>
      <c r="I38" s="948" t="s">
        <v>565</v>
      </c>
      <c r="J38" s="944"/>
      <c r="K38" s="944"/>
      <c r="L38" s="944"/>
    </row>
    <row r="39" spans="2:12" ht="15.75">
      <c r="B39" s="923" t="s">
        <v>566</v>
      </c>
      <c r="C39" s="923" t="str">
        <f>"Year "&amp;TCOS!L4</f>
        <v>Year 2025</v>
      </c>
      <c r="D39" s="923"/>
      <c r="E39" s="930">
        <f>-L36</f>
        <v>-4653.3514905033871</v>
      </c>
      <c r="F39" s="930"/>
      <c r="G39" s="1456">
        <f>G15</f>
        <v>6.4749999999999981E-3</v>
      </c>
      <c r="H39" s="1312" t="s">
        <v>406</v>
      </c>
      <c r="I39" s="944">
        <f xml:space="preserve"> -G39*E39</f>
        <v>30.130450901009421</v>
      </c>
      <c r="J39" s="944">
        <f>PMT(G39,12,L$36)</f>
        <v>-404.29304764943799</v>
      </c>
      <c r="K39" s="944"/>
      <c r="L39" s="944">
        <f>(+E39+E39*G39-J39)*-1</f>
        <v>4279.1888937549593</v>
      </c>
    </row>
    <row r="40" spans="2:12" ht="15.75">
      <c r="B40" s="923" t="s">
        <v>567</v>
      </c>
      <c r="C40" s="923" t="str">
        <f>+C39</f>
        <v>Year 2025</v>
      </c>
      <c r="D40" s="923"/>
      <c r="E40" s="930">
        <f>-L39</f>
        <v>-4279.1888937549593</v>
      </c>
      <c r="F40" s="930"/>
      <c r="G40" s="1456">
        <f>+G39</f>
        <v>6.4749999999999981E-3</v>
      </c>
      <c r="H40" s="1312" t="s">
        <v>406</v>
      </c>
      <c r="I40" s="944">
        <f xml:space="preserve"> -G40*E40</f>
        <v>27.707748087063354</v>
      </c>
      <c r="J40" s="944">
        <f>J39</f>
        <v>-404.29304764943799</v>
      </c>
      <c r="K40" s="944"/>
      <c r="L40" s="944">
        <f t="shared" ref="L40:L50" si="5">(+E40+E40*G40-J40)*-1</f>
        <v>3902.6035941925843</v>
      </c>
    </row>
    <row r="41" spans="2:12" ht="15.75">
      <c r="B41" s="923" t="s">
        <v>568</v>
      </c>
      <c r="C41" s="923" t="str">
        <f>+C40</f>
        <v>Year 2025</v>
      </c>
      <c r="D41" s="923"/>
      <c r="E41" s="930">
        <f t="shared" ref="E41:E50" si="6">-L40</f>
        <v>-3902.6035941925843</v>
      </c>
      <c r="F41" s="930"/>
      <c r="G41" s="1456">
        <f t="shared" ref="G41:G50" si="7">+G40</f>
        <v>6.4749999999999981E-3</v>
      </c>
      <c r="H41" s="1312" t="s">
        <v>406</v>
      </c>
      <c r="I41" s="944">
        <f t="shared" ref="I41:I50" si="8" xml:space="preserve"> -G41*E41</f>
        <v>25.269358272396975</v>
      </c>
      <c r="J41" s="944">
        <f t="shared" ref="J41:J50" si="9">J40</f>
        <v>-404.29304764943799</v>
      </c>
      <c r="K41" s="944"/>
      <c r="L41" s="944">
        <f t="shared" si="5"/>
        <v>3523.5799048155432</v>
      </c>
    </row>
    <row r="42" spans="2:12" ht="15.75">
      <c r="B42" s="923" t="s">
        <v>569</v>
      </c>
      <c r="C42" s="923" t="str">
        <f>+C41</f>
        <v>Year 2025</v>
      </c>
      <c r="D42" s="923"/>
      <c r="E42" s="930">
        <f t="shared" si="6"/>
        <v>-3523.5799048155432</v>
      </c>
      <c r="F42" s="930"/>
      <c r="G42" s="1456">
        <f t="shared" si="7"/>
        <v>6.4749999999999981E-3</v>
      </c>
      <c r="H42" s="1312" t="s">
        <v>406</v>
      </c>
      <c r="I42" s="944">
        <f t="shared" si="8"/>
        <v>22.815179883680635</v>
      </c>
      <c r="J42" s="944">
        <f t="shared" si="9"/>
        <v>-404.29304764943799</v>
      </c>
      <c r="K42" s="944"/>
      <c r="L42" s="944">
        <f t="shared" si="5"/>
        <v>3142.1020370497858</v>
      </c>
    </row>
    <row r="43" spans="2:12" ht="15.75">
      <c r="B43" s="923" t="s">
        <v>570</v>
      </c>
      <c r="C43" s="923" t="str">
        <f>+C42</f>
        <v>Year 2025</v>
      </c>
      <c r="D43" s="923"/>
      <c r="E43" s="930">
        <f t="shared" si="6"/>
        <v>-3142.1020370497858</v>
      </c>
      <c r="F43" s="930"/>
      <c r="G43" s="1456">
        <f t="shared" si="7"/>
        <v>6.4749999999999981E-3</v>
      </c>
      <c r="H43" s="1312" t="s">
        <v>406</v>
      </c>
      <c r="I43" s="944">
        <f t="shared" si="8"/>
        <v>20.345110689897357</v>
      </c>
      <c r="J43" s="944">
        <f>J42</f>
        <v>-404.29304764943799</v>
      </c>
      <c r="K43" s="944"/>
      <c r="L43" s="944">
        <f t="shared" si="5"/>
        <v>2758.1541000902453</v>
      </c>
    </row>
    <row r="44" spans="2:12" ht="15.75">
      <c r="B44" s="923" t="s">
        <v>571</v>
      </c>
      <c r="C44" s="923" t="str">
        <f>C43</f>
        <v>Year 2025</v>
      </c>
      <c r="D44" s="393"/>
      <c r="E44" s="930">
        <f t="shared" si="6"/>
        <v>-2758.1541000902453</v>
      </c>
      <c r="F44" s="930"/>
      <c r="G44" s="1456">
        <f t="shared" si="7"/>
        <v>6.4749999999999981E-3</v>
      </c>
      <c r="H44" s="1312" t="s">
        <v>406</v>
      </c>
      <c r="I44" s="944">
        <f t="shared" si="8"/>
        <v>17.859047798084333</v>
      </c>
      <c r="J44" s="944">
        <f t="shared" si="9"/>
        <v>-404.29304764943799</v>
      </c>
      <c r="K44" s="944"/>
      <c r="L44" s="944">
        <f t="shared" si="5"/>
        <v>2371.7201002388915</v>
      </c>
    </row>
    <row r="45" spans="2:12" ht="15.75">
      <c r="B45" s="923" t="s">
        <v>572</v>
      </c>
      <c r="C45" s="923" t="str">
        <f t="shared" ref="C45:C50" si="10">+C44</f>
        <v>Year 2025</v>
      </c>
      <c r="D45" s="923"/>
      <c r="E45" s="930">
        <f t="shared" si="6"/>
        <v>-2371.7201002388915</v>
      </c>
      <c r="F45" s="930"/>
      <c r="G45" s="1456">
        <f t="shared" si="7"/>
        <v>6.4749999999999981E-3</v>
      </c>
      <c r="H45" s="1312" t="s">
        <v>406</v>
      </c>
      <c r="I45" s="944">
        <f t="shared" si="8"/>
        <v>15.356887649046818</v>
      </c>
      <c r="J45" s="944">
        <f t="shared" si="9"/>
        <v>-404.29304764943799</v>
      </c>
      <c r="K45" s="944"/>
      <c r="L45" s="944">
        <f t="shared" si="5"/>
        <v>1982.7839402385002</v>
      </c>
    </row>
    <row r="46" spans="2:12" ht="15.75">
      <c r="B46" s="923" t="s">
        <v>573</v>
      </c>
      <c r="C46" s="923" t="str">
        <f t="shared" si="10"/>
        <v>Year 2025</v>
      </c>
      <c r="D46" s="923"/>
      <c r="E46" s="930">
        <f t="shared" si="6"/>
        <v>-1982.7839402385002</v>
      </c>
      <c r="F46" s="930"/>
      <c r="G46" s="1456">
        <f t="shared" si="7"/>
        <v>6.4749999999999981E-3</v>
      </c>
      <c r="H46" s="1312" t="s">
        <v>406</v>
      </c>
      <c r="I46" s="944">
        <f t="shared" si="8"/>
        <v>12.838526013044286</v>
      </c>
      <c r="J46" s="944">
        <f t="shared" si="9"/>
        <v>-404.29304764943799</v>
      </c>
      <c r="K46" s="944"/>
      <c r="L46" s="944">
        <f t="shared" si="5"/>
        <v>1591.3294186021064</v>
      </c>
    </row>
    <row r="47" spans="2:12" ht="15.75">
      <c r="B47" s="923" t="s">
        <v>574</v>
      </c>
      <c r="C47" s="923" t="str">
        <f t="shared" si="10"/>
        <v>Year 2025</v>
      </c>
      <c r="D47" s="923"/>
      <c r="E47" s="930">
        <f t="shared" si="6"/>
        <v>-1591.3294186021064</v>
      </c>
      <c r="F47" s="930"/>
      <c r="G47" s="1456">
        <f t="shared" si="7"/>
        <v>6.4749999999999981E-3</v>
      </c>
      <c r="H47" s="1312" t="s">
        <v>406</v>
      </c>
      <c r="I47" s="944">
        <f t="shared" si="8"/>
        <v>10.303857985448635</v>
      </c>
      <c r="J47" s="944">
        <f>J46</f>
        <v>-404.29304764943799</v>
      </c>
      <c r="K47" s="944"/>
      <c r="L47" s="944">
        <f t="shared" si="5"/>
        <v>1197.340228938117</v>
      </c>
    </row>
    <row r="48" spans="2:12" ht="15.75">
      <c r="B48" s="923" t="s">
        <v>575</v>
      </c>
      <c r="C48" s="923" t="str">
        <f t="shared" si="10"/>
        <v>Year 2025</v>
      </c>
      <c r="D48" s="923"/>
      <c r="E48" s="930">
        <f t="shared" si="6"/>
        <v>-1197.340228938117</v>
      </c>
      <c r="F48" s="930"/>
      <c r="G48" s="1456">
        <f t="shared" si="7"/>
        <v>6.4749999999999981E-3</v>
      </c>
      <c r="H48" s="1312" t="s">
        <v>406</v>
      </c>
      <c r="I48" s="944">
        <f t="shared" si="8"/>
        <v>7.7527779823743055</v>
      </c>
      <c r="J48" s="944">
        <f t="shared" si="9"/>
        <v>-404.29304764943799</v>
      </c>
      <c r="K48" s="944"/>
      <c r="L48" s="944">
        <f t="shared" si="5"/>
        <v>800.79995927105324</v>
      </c>
    </row>
    <row r="49" spans="2:12" ht="15.75">
      <c r="B49" s="923" t="s">
        <v>576</v>
      </c>
      <c r="C49" s="923" t="str">
        <f t="shared" si="10"/>
        <v>Year 2025</v>
      </c>
      <c r="D49" s="923"/>
      <c r="E49" s="930">
        <f t="shared" si="6"/>
        <v>-800.79995927105324</v>
      </c>
      <c r="F49" s="930"/>
      <c r="G49" s="1456">
        <f t="shared" si="7"/>
        <v>6.4749999999999981E-3</v>
      </c>
      <c r="H49" s="1312" t="s">
        <v>406</v>
      </c>
      <c r="I49" s="944">
        <f t="shared" si="8"/>
        <v>5.1851797362800678</v>
      </c>
      <c r="J49" s="944">
        <f t="shared" si="9"/>
        <v>-404.29304764943799</v>
      </c>
      <c r="K49" s="944"/>
      <c r="L49" s="944">
        <f t="shared" si="5"/>
        <v>401.69209135789526</v>
      </c>
    </row>
    <row r="50" spans="2:12" ht="15.75">
      <c r="B50" s="923" t="s">
        <v>577</v>
      </c>
      <c r="C50" s="923" t="str">
        <f t="shared" si="10"/>
        <v>Year 2025</v>
      </c>
      <c r="D50" s="923"/>
      <c r="E50" s="930">
        <f t="shared" si="6"/>
        <v>-401.69209135789526</v>
      </c>
      <c r="F50" s="930"/>
      <c r="G50" s="1456">
        <f t="shared" si="7"/>
        <v>6.4749999999999981E-3</v>
      </c>
      <c r="H50" s="1312" t="s">
        <v>406</v>
      </c>
      <c r="I50" s="946">
        <f t="shared" si="8"/>
        <v>2.6009562915423712</v>
      </c>
      <c r="J50" s="944">
        <f t="shared" si="9"/>
        <v>-404.29304764943799</v>
      </c>
      <c r="K50" s="944"/>
      <c r="L50" s="944">
        <f t="shared" si="5"/>
        <v>-3.4106051316484809E-13</v>
      </c>
    </row>
    <row r="51" spans="2:12" ht="15.75">
      <c r="B51" s="923"/>
      <c r="C51" s="923"/>
      <c r="D51" s="923"/>
      <c r="E51" s="930"/>
      <c r="F51" s="930"/>
      <c r="G51" s="945"/>
      <c r="H51" s="923"/>
      <c r="I51" s="944">
        <f>SUM(I39:I50)</f>
        <v>198.16508128986857</v>
      </c>
      <c r="J51" s="944"/>
      <c r="K51" s="944"/>
      <c r="L51" s="944"/>
    </row>
    <row r="52" spans="2:12" ht="15">
      <c r="B52" s="393"/>
      <c r="C52" s="393"/>
      <c r="D52" s="393"/>
      <c r="E52" s="393"/>
      <c r="F52" s="393"/>
      <c r="G52" s="393"/>
      <c r="H52" s="393"/>
      <c r="I52" s="393"/>
      <c r="J52" s="950"/>
      <c r="K52" s="393"/>
      <c r="L52" s="393"/>
    </row>
    <row r="53" spans="2:12" ht="15.75">
      <c r="B53" s="923" t="s">
        <v>581</v>
      </c>
      <c r="C53" s="393"/>
      <c r="D53" s="393"/>
      <c r="E53" s="393"/>
      <c r="F53" s="393"/>
      <c r="G53" s="393"/>
      <c r="H53" s="393"/>
      <c r="I53" s="393"/>
      <c r="J53" s="951">
        <f>(SUM(J39:J50)*-1)</f>
        <v>4851.5165717932559</v>
      </c>
      <c r="K53" s="393"/>
      <c r="L53" s="393"/>
    </row>
    <row r="54" spans="2:12" ht="15.75">
      <c r="B54" s="923" t="s">
        <v>582</v>
      </c>
      <c r="C54" s="393"/>
      <c r="D54" s="393"/>
      <c r="E54" s="393"/>
      <c r="F54" s="393"/>
      <c r="G54" s="393"/>
      <c r="H54" s="393"/>
      <c r="I54" s="393"/>
      <c r="J54" s="952">
        <f>+I10</f>
        <v>-4143.4660887706123</v>
      </c>
      <c r="K54" s="393"/>
      <c r="L54" s="393"/>
    </row>
    <row r="55" spans="2:12" ht="15.75">
      <c r="B55" s="923" t="s">
        <v>583</v>
      </c>
      <c r="C55" s="393"/>
      <c r="D55" s="393"/>
      <c r="E55" s="393"/>
      <c r="F55" s="393"/>
      <c r="G55" s="393"/>
      <c r="H55" s="393"/>
      <c r="I55" s="393"/>
      <c r="J55" s="951">
        <f>(J53+J54)</f>
        <v>708.05048302264368</v>
      </c>
      <c r="K55" s="393"/>
      <c r="L55" s="393"/>
    </row>
    <row r="56" spans="2:12">
      <c r="B56" s="392"/>
      <c r="C56" s="392"/>
      <c r="D56" s="392"/>
      <c r="E56" s="392"/>
      <c r="F56" s="392"/>
      <c r="G56" s="392"/>
      <c r="H56" s="392"/>
      <c r="I56" s="392"/>
      <c r="J56" s="392"/>
      <c r="K56" s="392"/>
      <c r="L56" s="392"/>
    </row>
    <row r="57" spans="2:12" ht="81" customHeight="1">
      <c r="B57" s="1580" t="s">
        <v>584</v>
      </c>
      <c r="C57" s="1580"/>
      <c r="D57" s="1580"/>
      <c r="E57" s="1580"/>
      <c r="F57" s="1580"/>
      <c r="G57" s="1580"/>
      <c r="H57" s="1313"/>
      <c r="I57" s="1313"/>
      <c r="J57" s="1313"/>
      <c r="K57" s="1313"/>
      <c r="L57" s="1313"/>
    </row>
  </sheetData>
  <mergeCells count="5">
    <mergeCell ref="B1:L1"/>
    <mergeCell ref="B2:L2"/>
    <mergeCell ref="B3:L3"/>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y8zMS8yMDIzIDE6MjY6NDQ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0EE0248-AE77-40E4-8A99-E0F2BCC3E69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C6A13EC-C4BA-4F1D-93B2-AD0A7A9D43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R Schedule 1A'!Print_Area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5e08640f-a4b9-4650-acfe-d3eb2adaa8bc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{00EE0248-AE77-40E4-8A99-E0F2BCC3E69D}</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